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4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 xml:space="preserve">All Comparator Library Holdings 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BF1 .P79 no.12</t>
        </is>
      </c>
      <c r="C2" t="inlineStr">
        <is>
          <t>0                      BF 0001000P  79                                                      no.12</t>
        </is>
      </c>
      <c r="D2" t="inlineStr">
        <is>
          <t>The formation and transformation of the perceptual world.</t>
        </is>
      </c>
      <c r="E2" t="inlineStr">
        <is>
          <t>no.12*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Köhler, Ivo.</t>
        </is>
      </c>
      <c r="L2" t="inlineStr">
        <is>
          <t>New York : International Universities Press, 1964.</t>
        </is>
      </c>
      <c r="M2" t="inlineStr">
        <is>
          <t>1964</t>
        </is>
      </c>
      <c r="O2" t="inlineStr">
        <is>
          <t>eng</t>
        </is>
      </c>
      <c r="P2" t="inlineStr">
        <is>
          <t>nyu</t>
        </is>
      </c>
      <c r="Q2" t="inlineStr">
        <is>
          <t>Psychological issues ; v. 3, no. 4, Monograph 12</t>
        </is>
      </c>
      <c r="R2" t="inlineStr">
        <is>
          <t xml:space="preserve">BF </t>
        </is>
      </c>
      <c r="S2" t="n">
        <v>3</v>
      </c>
      <c r="T2" t="n">
        <v>3</v>
      </c>
      <c r="U2" t="inlineStr">
        <is>
          <t>1994-02-15</t>
        </is>
      </c>
      <c r="V2" t="inlineStr">
        <is>
          <t>1994-02-15</t>
        </is>
      </c>
      <c r="W2" t="inlineStr">
        <is>
          <t>1992-04-08</t>
        </is>
      </c>
      <c r="X2" t="inlineStr">
        <is>
          <t>1992-04-08</t>
        </is>
      </c>
      <c r="Y2" t="n">
        <v>306</v>
      </c>
      <c r="Z2" t="n">
        <v>260</v>
      </c>
      <c r="AA2" t="n">
        <v>262</v>
      </c>
      <c r="AB2" t="n">
        <v>4</v>
      </c>
      <c r="AC2" t="n">
        <v>4</v>
      </c>
      <c r="AD2" t="n">
        <v>8</v>
      </c>
      <c r="AE2" t="n">
        <v>8</v>
      </c>
      <c r="AF2" t="n">
        <v>1</v>
      </c>
      <c r="AG2" t="n">
        <v>1</v>
      </c>
      <c r="AH2" t="n">
        <v>1</v>
      </c>
      <c r="AI2" t="n">
        <v>1</v>
      </c>
      <c r="AJ2" t="n">
        <v>4</v>
      </c>
      <c r="AK2" t="n">
        <v>4</v>
      </c>
      <c r="AL2" t="n">
        <v>3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HYPERLINK("http://catalog.hathitrust.org/Record/004419243","HathiTrust Record")</f>
        <v/>
      </c>
      <c r="AS2">
        <f>HYPERLINK("https://creighton-primo.hosted.exlibrisgroup.com/primo-explore/search?tab=default_tab&amp;search_scope=EVERYTHING&amp;vid=01CRU&amp;lang=en_US&amp;offset=0&amp;query=any,contains,991002985579702656","Catalog Record")</f>
        <v/>
      </c>
      <c r="AT2">
        <f>HYPERLINK("http://www.worldcat.org/oclc/874332070","WorldCat Record")</f>
        <v/>
      </c>
      <c r="AU2" t="inlineStr">
        <is>
          <t>233011563:eng</t>
        </is>
      </c>
      <c r="AV2" t="inlineStr">
        <is>
          <t>874332070</t>
        </is>
      </c>
      <c r="AW2" t="inlineStr">
        <is>
          <t>991002985579702656</t>
        </is>
      </c>
      <c r="AX2" t="inlineStr">
        <is>
          <t>991002985579702656</t>
        </is>
      </c>
      <c r="AY2" t="inlineStr">
        <is>
          <t>2261402890002656</t>
        </is>
      </c>
      <c r="AZ2" t="inlineStr">
        <is>
          <t>BOOK</t>
        </is>
      </c>
      <c r="BC2" t="inlineStr">
        <is>
          <t>32285000845643</t>
        </is>
      </c>
      <c r="BD2" t="inlineStr">
        <is>
          <t>893409789</t>
        </is>
      </c>
    </row>
    <row r="3">
      <c r="A3" t="inlineStr">
        <is>
          <t>No</t>
        </is>
      </c>
      <c r="B3" t="inlineStr">
        <is>
          <t>BF1 .P79 no.2</t>
        </is>
      </c>
      <c r="C3" t="inlineStr">
        <is>
          <t>0                      BF 0001000P  79                                                      no.2</t>
        </is>
      </c>
      <c r="D3" t="inlineStr">
        <is>
          <t>Studies in remembering : the reproduction of connected and extended verbal material.</t>
        </is>
      </c>
      <c r="E3" t="inlineStr">
        <is>
          <t>no.2*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Paul, I. H. (Irving H.), 1928-</t>
        </is>
      </c>
      <c r="L3" t="inlineStr">
        <is>
          <t>New York : International Universities Press, 1959.</t>
        </is>
      </c>
      <c r="M3" t="inlineStr">
        <is>
          <t>1959</t>
        </is>
      </c>
      <c r="O3" t="inlineStr">
        <is>
          <t>eng</t>
        </is>
      </c>
      <c r="P3" t="inlineStr">
        <is>
          <t>nyu</t>
        </is>
      </c>
      <c r="Q3" t="inlineStr">
        <is>
          <t>Psychological issues ; v. 1, no. 2, Monograph 2</t>
        </is>
      </c>
      <c r="R3" t="inlineStr">
        <is>
          <t xml:space="preserve">BF </t>
        </is>
      </c>
      <c r="S3" t="n">
        <v>1</v>
      </c>
      <c r="T3" t="n">
        <v>1</v>
      </c>
      <c r="U3" t="inlineStr">
        <is>
          <t>1997-03-04</t>
        </is>
      </c>
      <c r="V3" t="inlineStr">
        <is>
          <t>1997-03-04</t>
        </is>
      </c>
      <c r="W3" t="inlineStr">
        <is>
          <t>1992-04-08</t>
        </is>
      </c>
      <c r="X3" t="inlineStr">
        <is>
          <t>1992-04-08</t>
        </is>
      </c>
      <c r="Y3" t="n">
        <v>324</v>
      </c>
      <c r="Z3" t="n">
        <v>272</v>
      </c>
      <c r="AA3" t="n">
        <v>283</v>
      </c>
      <c r="AB3" t="n">
        <v>1</v>
      </c>
      <c r="AC3" t="n">
        <v>1</v>
      </c>
      <c r="AD3" t="n">
        <v>11</v>
      </c>
      <c r="AE3" t="n">
        <v>11</v>
      </c>
      <c r="AF3" t="n">
        <v>3</v>
      </c>
      <c r="AG3" t="n">
        <v>3</v>
      </c>
      <c r="AH3" t="n">
        <v>4</v>
      </c>
      <c r="AI3" t="n">
        <v>4</v>
      </c>
      <c r="AJ3" t="n">
        <v>8</v>
      </c>
      <c r="AK3" t="n">
        <v>8</v>
      </c>
      <c r="AL3" t="n">
        <v>0</v>
      </c>
      <c r="AM3" t="n">
        <v>0</v>
      </c>
      <c r="AN3" t="n">
        <v>0</v>
      </c>
      <c r="AO3" t="n">
        <v>0</v>
      </c>
      <c r="AP3" t="inlineStr">
        <is>
          <t>Yes</t>
        </is>
      </c>
      <c r="AQ3" t="inlineStr">
        <is>
          <t>No</t>
        </is>
      </c>
      <c r="AR3">
        <f>HYPERLINK("http://catalog.hathitrust.org/Record/001685058","HathiTrust Record")</f>
        <v/>
      </c>
      <c r="AS3">
        <f>HYPERLINK("https://creighton-primo.hosted.exlibrisgroup.com/primo-explore/search?tab=default_tab&amp;search_scope=EVERYTHING&amp;vid=01CRU&amp;lang=en_US&amp;offset=0&amp;query=any,contains,991003160799702656","Catalog Record")</f>
        <v/>
      </c>
      <c r="AT3">
        <f>HYPERLINK("http://www.worldcat.org/oclc/700094","WorldCat Record")</f>
        <v/>
      </c>
      <c r="AU3" t="inlineStr">
        <is>
          <t>287279989:eng</t>
        </is>
      </c>
      <c r="AV3" t="inlineStr">
        <is>
          <t>700094</t>
        </is>
      </c>
      <c r="AW3" t="inlineStr">
        <is>
          <t>991003160799702656</t>
        </is>
      </c>
      <c r="AX3" t="inlineStr">
        <is>
          <t>991003160799702656</t>
        </is>
      </c>
      <c r="AY3" t="inlineStr">
        <is>
          <t>2256592850002656</t>
        </is>
      </c>
      <c r="AZ3" t="inlineStr">
        <is>
          <t>BOOK</t>
        </is>
      </c>
      <c r="BC3" t="inlineStr">
        <is>
          <t>32285000845569</t>
        </is>
      </c>
      <c r="BD3" t="inlineStr">
        <is>
          <t>893352707</t>
        </is>
      </c>
    </row>
    <row r="4">
      <c r="A4" t="inlineStr">
        <is>
          <t>No</t>
        </is>
      </c>
      <c r="B4" t="inlineStr">
        <is>
          <t>BF1 .P79 no.25-26</t>
        </is>
      </c>
      <c r="C4" t="inlineStr">
        <is>
          <t>0                      BF 0001000P  79                                                      no.25-26</t>
        </is>
      </c>
      <c r="D4" t="inlineStr">
        <is>
          <t>Information, systems, and psychoanalysis : an evolutionary biological approach to psychoanalytic theory / by Emanuel Peterfreund, in collaboration with Jacob T. Schwartz.</t>
        </is>
      </c>
      <c r="E4" t="inlineStr">
        <is>
          <t>no.25-26*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Peterfreund, Emanuel, 1924-</t>
        </is>
      </c>
      <c r="L4" t="inlineStr">
        <is>
          <t>New York : International Universities Press, [1971]</t>
        </is>
      </c>
      <c r="M4" t="inlineStr">
        <is>
          <t>1971</t>
        </is>
      </c>
      <c r="O4" t="inlineStr">
        <is>
          <t>eng</t>
        </is>
      </c>
      <c r="P4" t="inlineStr">
        <is>
          <t>nyu</t>
        </is>
      </c>
      <c r="Q4" t="inlineStr">
        <is>
          <t>Psychological issues ; v. 7, no. 1/2, Monograph 25/26</t>
        </is>
      </c>
      <c r="R4" t="inlineStr">
        <is>
          <t xml:space="preserve">BF </t>
        </is>
      </c>
      <c r="S4" t="n">
        <v>4</v>
      </c>
      <c r="T4" t="n">
        <v>4</v>
      </c>
      <c r="U4" t="inlineStr">
        <is>
          <t>1999-01-31</t>
        </is>
      </c>
      <c r="V4" t="inlineStr">
        <is>
          <t>1999-01-31</t>
        </is>
      </c>
      <c r="W4" t="inlineStr">
        <is>
          <t>1992-04-08</t>
        </is>
      </c>
      <c r="X4" t="inlineStr">
        <is>
          <t>1992-04-08</t>
        </is>
      </c>
      <c r="Y4" t="n">
        <v>344</v>
      </c>
      <c r="Z4" t="n">
        <v>289</v>
      </c>
      <c r="AA4" t="n">
        <v>292</v>
      </c>
      <c r="AB4" t="n">
        <v>4</v>
      </c>
      <c r="AC4" t="n">
        <v>4</v>
      </c>
      <c r="AD4" t="n">
        <v>12</v>
      </c>
      <c r="AE4" t="n">
        <v>12</v>
      </c>
      <c r="AF4" t="n">
        <v>1</v>
      </c>
      <c r="AG4" t="n">
        <v>1</v>
      </c>
      <c r="AH4" t="n">
        <v>5</v>
      </c>
      <c r="AI4" t="n">
        <v>5</v>
      </c>
      <c r="AJ4" t="n">
        <v>7</v>
      </c>
      <c r="AK4" t="n">
        <v>7</v>
      </c>
      <c r="AL4" t="n">
        <v>3</v>
      </c>
      <c r="AM4" t="n">
        <v>3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HYPERLINK("http://catalog.hathitrust.org/Record/000658327","HathiTrust Record")</f>
        <v/>
      </c>
      <c r="AS4">
        <f>HYPERLINK("https://creighton-primo.hosted.exlibrisgroup.com/primo-explore/search?tab=default_tab&amp;search_scope=EVERYTHING&amp;vid=01CRU&amp;lang=en_US&amp;offset=0&amp;query=any,contains,991000832199702656","Catalog Record")</f>
        <v/>
      </c>
      <c r="AT4">
        <f>HYPERLINK("http://www.worldcat.org/oclc/148197","WorldCat Record")</f>
        <v/>
      </c>
      <c r="AU4" t="inlineStr">
        <is>
          <t>1333101:eng</t>
        </is>
      </c>
      <c r="AV4" t="inlineStr">
        <is>
          <t>148197</t>
        </is>
      </c>
      <c r="AW4" t="inlineStr">
        <is>
          <t>991000832199702656</t>
        </is>
      </c>
      <c r="AX4" t="inlineStr">
        <is>
          <t>991000832199702656</t>
        </is>
      </c>
      <c r="AY4" t="inlineStr">
        <is>
          <t>2259927130002656</t>
        </is>
      </c>
      <c r="AZ4" t="inlineStr">
        <is>
          <t>BOOK</t>
        </is>
      </c>
      <c r="BC4" t="inlineStr">
        <is>
          <t>32285000845676</t>
        </is>
      </c>
      <c r="BD4" t="inlineStr">
        <is>
          <t>893891055</t>
        </is>
      </c>
    </row>
    <row r="5">
      <c r="A5" t="inlineStr">
        <is>
          <t>No</t>
        </is>
      </c>
      <c r="B5" t="inlineStr">
        <is>
          <t>BF1 .P79 no.28</t>
        </is>
      </c>
      <c r="C5" t="inlineStr">
        <is>
          <t>0                      BF 0001000P  79                                                      no.28</t>
        </is>
      </c>
      <c r="D5" t="inlineStr">
        <is>
          <t>Immediate effects on patients of psychoanalytic interpretations / by Edith Levitov Garduk and Ernest A. Haggard.</t>
        </is>
      </c>
      <c r="E5" t="inlineStr">
        <is>
          <t>no.28*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Garduk, Edith Levitov.</t>
        </is>
      </c>
      <c r="L5" t="inlineStr">
        <is>
          <t>New York : International Universities Press, [1972]</t>
        </is>
      </c>
      <c r="M5" t="inlineStr">
        <is>
          <t>1972</t>
        </is>
      </c>
      <c r="O5" t="inlineStr">
        <is>
          <t>eng</t>
        </is>
      </c>
      <c r="P5" t="inlineStr">
        <is>
          <t>nyu</t>
        </is>
      </c>
      <c r="Q5" t="inlineStr">
        <is>
          <t>Psychological issues ; v. 7, no. 4. Monograph 28</t>
        </is>
      </c>
      <c r="R5" t="inlineStr">
        <is>
          <t xml:space="preserve">BF </t>
        </is>
      </c>
      <c r="S5" t="n">
        <v>1</v>
      </c>
      <c r="T5" t="n">
        <v>1</v>
      </c>
      <c r="U5" t="inlineStr">
        <is>
          <t>1994-11-12</t>
        </is>
      </c>
      <c r="V5" t="inlineStr">
        <is>
          <t>1994-11-12</t>
        </is>
      </c>
      <c r="W5" t="inlineStr">
        <is>
          <t>1992-04-08</t>
        </is>
      </c>
      <c r="X5" t="inlineStr">
        <is>
          <t>1992-04-08</t>
        </is>
      </c>
      <c r="Y5" t="n">
        <v>258</v>
      </c>
      <c r="Z5" t="n">
        <v>215</v>
      </c>
      <c r="AA5" t="n">
        <v>218</v>
      </c>
      <c r="AB5" t="n">
        <v>4</v>
      </c>
      <c r="AC5" t="n">
        <v>4</v>
      </c>
      <c r="AD5" t="n">
        <v>10</v>
      </c>
      <c r="AE5" t="n">
        <v>10</v>
      </c>
      <c r="AF5" t="n">
        <v>2</v>
      </c>
      <c r="AG5" t="n">
        <v>2</v>
      </c>
      <c r="AH5" t="n">
        <v>3</v>
      </c>
      <c r="AI5" t="n">
        <v>3</v>
      </c>
      <c r="AJ5" t="n">
        <v>5</v>
      </c>
      <c r="AK5" t="n">
        <v>5</v>
      </c>
      <c r="AL5" t="n">
        <v>3</v>
      </c>
      <c r="AM5" t="n">
        <v>3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HYPERLINK("http://catalog.hathitrust.org/Record/001578239","HathiTrust Record")</f>
        <v/>
      </c>
      <c r="AS5">
        <f>HYPERLINK("https://creighton-primo.hosted.exlibrisgroup.com/primo-explore/search?tab=default_tab&amp;search_scope=EVERYTHING&amp;vid=01CRU&amp;lang=en_US&amp;offset=0&amp;query=any,contains,991002344769702656","Catalog Record")</f>
        <v/>
      </c>
      <c r="AT5">
        <f>HYPERLINK("http://www.worldcat.org/oclc/324461","WorldCat Record")</f>
        <v/>
      </c>
      <c r="AU5" t="inlineStr">
        <is>
          <t>1410996:eng</t>
        </is>
      </c>
      <c r="AV5" t="inlineStr">
        <is>
          <t>324461</t>
        </is>
      </c>
      <c r="AW5" t="inlineStr">
        <is>
          <t>991002344769702656</t>
        </is>
      </c>
      <c r="AX5" t="inlineStr">
        <is>
          <t>991002344769702656</t>
        </is>
      </c>
      <c r="AY5" t="inlineStr">
        <is>
          <t>2255135440002656</t>
        </is>
      </c>
      <c r="AZ5" t="inlineStr">
        <is>
          <t>BOOK</t>
        </is>
      </c>
      <c r="BB5" t="inlineStr">
        <is>
          <t>9780823625307</t>
        </is>
      </c>
      <c r="BC5" t="inlineStr">
        <is>
          <t>32285000845692</t>
        </is>
      </c>
      <c r="BD5" t="inlineStr">
        <is>
          <t>893427495</t>
        </is>
      </c>
    </row>
    <row r="6">
      <c r="A6" t="inlineStr">
        <is>
          <t>No</t>
        </is>
      </c>
      <c r="B6" t="inlineStr">
        <is>
          <t>BF1 .P79 no.32</t>
        </is>
      </c>
      <c r="C6" t="inlineStr">
        <is>
          <t>0                      BF 0001000P  79                                                      no.32</t>
        </is>
      </c>
      <c r="D6" t="inlineStr">
        <is>
          <t>Scientific thought and social reality : essays / edited by Fred Schwartz.</t>
        </is>
      </c>
      <c r="E6" t="inlineStr">
        <is>
          <t>no.32*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Polanyi, Michael, 1891-1976.</t>
        </is>
      </c>
      <c r="L6" t="inlineStr">
        <is>
          <t>New York : International Universities Press, [1974]</t>
        </is>
      </c>
      <c r="M6" t="inlineStr">
        <is>
          <t>1974</t>
        </is>
      </c>
      <c r="O6" t="inlineStr">
        <is>
          <t>eng</t>
        </is>
      </c>
      <c r="P6" t="inlineStr">
        <is>
          <t>nyu</t>
        </is>
      </c>
      <c r="Q6" t="inlineStr">
        <is>
          <t>Psychological issues ; v. 8, no. 4, monograph 32</t>
        </is>
      </c>
      <c r="R6" t="inlineStr">
        <is>
          <t xml:space="preserve">BF </t>
        </is>
      </c>
      <c r="S6" t="n">
        <v>1</v>
      </c>
      <c r="T6" t="n">
        <v>1</v>
      </c>
      <c r="U6" t="inlineStr">
        <is>
          <t>2006-10-13</t>
        </is>
      </c>
      <c r="V6" t="inlineStr">
        <is>
          <t>2006-10-13</t>
        </is>
      </c>
      <c r="W6" t="inlineStr">
        <is>
          <t>2000-06-15</t>
        </is>
      </c>
      <c r="X6" t="inlineStr">
        <is>
          <t>2000-06-15</t>
        </is>
      </c>
      <c r="Y6" t="n">
        <v>380</v>
      </c>
      <c r="Z6" t="n">
        <v>301</v>
      </c>
      <c r="AA6" t="n">
        <v>308</v>
      </c>
      <c r="AB6" t="n">
        <v>4</v>
      </c>
      <c r="AC6" t="n">
        <v>4</v>
      </c>
      <c r="AD6" t="n">
        <v>17</v>
      </c>
      <c r="AE6" t="n">
        <v>17</v>
      </c>
      <c r="AF6" t="n">
        <v>4</v>
      </c>
      <c r="AG6" t="n">
        <v>4</v>
      </c>
      <c r="AH6" t="n">
        <v>6</v>
      </c>
      <c r="AI6" t="n">
        <v>6</v>
      </c>
      <c r="AJ6" t="n">
        <v>9</v>
      </c>
      <c r="AK6" t="n">
        <v>9</v>
      </c>
      <c r="AL6" t="n">
        <v>3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HYPERLINK("http://catalog.hathitrust.org/Record/001685062","HathiTrust Record")</f>
        <v/>
      </c>
      <c r="AS6">
        <f>HYPERLINK("https://creighton-primo.hosted.exlibrisgroup.com/primo-explore/search?tab=default_tab&amp;search_scope=EVERYTHING&amp;vid=01CRU&amp;lang=en_US&amp;offset=0&amp;query=any,contains,991003092499702656","Catalog Record")</f>
        <v/>
      </c>
      <c r="AT6">
        <f>HYPERLINK("http://www.worldcat.org/oclc/866635","WorldCat Record")</f>
        <v/>
      </c>
      <c r="AU6" t="inlineStr">
        <is>
          <t>864121461:eng</t>
        </is>
      </c>
      <c r="AV6" t="inlineStr">
        <is>
          <t>866635</t>
        </is>
      </c>
      <c r="AW6" t="inlineStr">
        <is>
          <t>991003092499702656</t>
        </is>
      </c>
      <c r="AX6" t="inlineStr">
        <is>
          <t>991003092499702656</t>
        </is>
      </c>
      <c r="AY6" t="inlineStr">
        <is>
          <t>2262714860002656</t>
        </is>
      </c>
      <c r="AZ6" t="inlineStr">
        <is>
          <t>BOOK</t>
        </is>
      </c>
      <c r="BB6" t="inlineStr">
        <is>
          <t>9780823660056</t>
        </is>
      </c>
      <c r="BC6" t="inlineStr">
        <is>
          <t>32285000845726</t>
        </is>
      </c>
      <c r="BD6" t="inlineStr">
        <is>
          <t>893329952</t>
        </is>
      </c>
    </row>
    <row r="7">
      <c r="A7" t="inlineStr">
        <is>
          <t>No</t>
        </is>
      </c>
      <c r="B7" t="inlineStr">
        <is>
          <t>BF1 .P79 no.37</t>
        </is>
      </c>
      <c r="C7" t="inlineStr">
        <is>
          <t>0                      BF 0001000P  79                                                      no.37</t>
        </is>
      </c>
      <c r="D7" t="inlineStr">
        <is>
          <t>Emotional expression in infancy : a biobehavioral study / Robert N. Emde, Theodore J. Gaensbauer, and Robert J. Harmon.</t>
        </is>
      </c>
      <c r="E7" t="inlineStr">
        <is>
          <t>no.37*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Emde, Robert N.</t>
        </is>
      </c>
      <c r="L7" t="inlineStr">
        <is>
          <t>New York : International Universities Press, c1976.</t>
        </is>
      </c>
      <c r="M7" t="inlineStr">
        <is>
          <t>1976</t>
        </is>
      </c>
      <c r="O7" t="inlineStr">
        <is>
          <t>eng</t>
        </is>
      </c>
      <c r="P7" t="inlineStr">
        <is>
          <t>nyu</t>
        </is>
      </c>
      <c r="Q7" t="inlineStr">
        <is>
          <t>Psychological issues ; v. 10, no. 1, monograph 37</t>
        </is>
      </c>
      <c r="R7" t="inlineStr">
        <is>
          <t xml:space="preserve">BF </t>
        </is>
      </c>
      <c r="S7" t="n">
        <v>1</v>
      </c>
      <c r="T7" t="n">
        <v>1</v>
      </c>
      <c r="U7" t="inlineStr">
        <is>
          <t>2004-04-20</t>
        </is>
      </c>
      <c r="V7" t="inlineStr">
        <is>
          <t>2004-04-20</t>
        </is>
      </c>
      <c r="W7" t="inlineStr">
        <is>
          <t>2000-06-15</t>
        </is>
      </c>
      <c r="X7" t="inlineStr">
        <is>
          <t>2000-06-15</t>
        </is>
      </c>
      <c r="Y7" t="n">
        <v>397</v>
      </c>
      <c r="Z7" t="n">
        <v>332</v>
      </c>
      <c r="AA7" t="n">
        <v>344</v>
      </c>
      <c r="AB7" t="n">
        <v>4</v>
      </c>
      <c r="AC7" t="n">
        <v>4</v>
      </c>
      <c r="AD7" t="n">
        <v>17</v>
      </c>
      <c r="AE7" t="n">
        <v>17</v>
      </c>
      <c r="AF7" t="n">
        <v>4</v>
      </c>
      <c r="AG7" t="n">
        <v>4</v>
      </c>
      <c r="AH7" t="n">
        <v>3</v>
      </c>
      <c r="AI7" t="n">
        <v>3</v>
      </c>
      <c r="AJ7" t="n">
        <v>10</v>
      </c>
      <c r="AK7" t="n">
        <v>10</v>
      </c>
      <c r="AL7" t="n">
        <v>3</v>
      </c>
      <c r="AM7" t="n">
        <v>3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HYPERLINK("http://catalog.hathitrust.org/Record/007113352","HathiTrust Record")</f>
        <v/>
      </c>
      <c r="AS7">
        <f>HYPERLINK("https://creighton-primo.hosted.exlibrisgroup.com/primo-explore/search?tab=default_tab&amp;search_scope=EVERYTHING&amp;vid=01CRU&amp;lang=en_US&amp;offset=0&amp;query=any,contains,991003112349702656","Catalog Record")</f>
        <v/>
      </c>
      <c r="AT7">
        <f>HYPERLINK("http://www.worldcat.org/oclc/2202416","WorldCat Record")</f>
        <v/>
      </c>
      <c r="AU7" t="inlineStr">
        <is>
          <t>356304:eng</t>
        </is>
      </c>
      <c r="AV7" t="inlineStr">
        <is>
          <t>2202416</t>
        </is>
      </c>
      <c r="AW7" t="inlineStr">
        <is>
          <t>991003112349702656</t>
        </is>
      </c>
      <c r="AX7" t="inlineStr">
        <is>
          <t>991003112349702656</t>
        </is>
      </c>
      <c r="AY7" t="inlineStr">
        <is>
          <t>2258634460002656</t>
        </is>
      </c>
      <c r="AZ7" t="inlineStr">
        <is>
          <t>BOOK</t>
        </is>
      </c>
      <c r="BB7" t="inlineStr">
        <is>
          <t>9780823616510</t>
        </is>
      </c>
      <c r="BC7" t="inlineStr">
        <is>
          <t>32285000845767</t>
        </is>
      </c>
      <c r="BD7" t="inlineStr">
        <is>
          <t>893880831</t>
        </is>
      </c>
    </row>
    <row r="8">
      <c r="A8" t="inlineStr">
        <is>
          <t>No</t>
        </is>
      </c>
      <c r="B8" t="inlineStr">
        <is>
          <t>BF1 .P79 no.49</t>
        </is>
      </c>
      <c r="C8" t="inlineStr">
        <is>
          <t>0                      BF 0001000P  79                                                      no.49</t>
        </is>
      </c>
      <c r="D8" t="inlineStr">
        <is>
          <t>The power of form : a psychoanalytic approach to aesthetic form / Gilbert J. Rose.</t>
        </is>
      </c>
      <c r="E8" t="inlineStr">
        <is>
          <t>no.49*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Rose, Gilbert J., 1923-</t>
        </is>
      </c>
      <c r="L8" t="inlineStr">
        <is>
          <t>New York : International Universities Press, 1980.</t>
        </is>
      </c>
      <c r="M8" t="inlineStr">
        <is>
          <t>1980</t>
        </is>
      </c>
      <c r="O8" t="inlineStr">
        <is>
          <t>eng</t>
        </is>
      </c>
      <c r="P8" t="inlineStr">
        <is>
          <t>nyu</t>
        </is>
      </c>
      <c r="Q8" t="inlineStr">
        <is>
          <t>Psychological issues ; monograph 49</t>
        </is>
      </c>
      <c r="R8" t="inlineStr">
        <is>
          <t xml:space="preserve">BF </t>
        </is>
      </c>
      <c r="S8" t="n">
        <v>1</v>
      </c>
      <c r="T8" t="n">
        <v>1</v>
      </c>
      <c r="U8" t="inlineStr">
        <is>
          <t>2009-09-27</t>
        </is>
      </c>
      <c r="V8" t="inlineStr">
        <is>
          <t>2009-09-27</t>
        </is>
      </c>
      <c r="W8" t="inlineStr">
        <is>
          <t>2000-06-15</t>
        </is>
      </c>
      <c r="X8" t="inlineStr">
        <is>
          <t>2000-06-15</t>
        </is>
      </c>
      <c r="Y8" t="n">
        <v>398</v>
      </c>
      <c r="Z8" t="n">
        <v>327</v>
      </c>
      <c r="AA8" t="n">
        <v>370</v>
      </c>
      <c r="AB8" t="n">
        <v>4</v>
      </c>
      <c r="AC8" t="n">
        <v>4</v>
      </c>
      <c r="AD8" t="n">
        <v>18</v>
      </c>
      <c r="AE8" t="n">
        <v>21</v>
      </c>
      <c r="AF8" t="n">
        <v>4</v>
      </c>
      <c r="AG8" t="n">
        <v>6</v>
      </c>
      <c r="AH8" t="n">
        <v>4</v>
      </c>
      <c r="AI8" t="n">
        <v>4</v>
      </c>
      <c r="AJ8" t="n">
        <v>10</v>
      </c>
      <c r="AK8" t="n">
        <v>13</v>
      </c>
      <c r="AL8" t="n">
        <v>3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HYPERLINK("http://catalog.hathitrust.org/Record/000687089","HathiTrust Record")</f>
        <v/>
      </c>
      <c r="AS8">
        <f>HYPERLINK("https://creighton-primo.hosted.exlibrisgroup.com/primo-explore/search?tab=default_tab&amp;search_scope=EVERYTHING&amp;vid=01CRU&amp;lang=en_US&amp;offset=0&amp;query=any,contains,991003142689702656","Catalog Record")</f>
        <v/>
      </c>
      <c r="AT8">
        <f>HYPERLINK("http://www.worldcat.org/oclc/5990571","WorldCat Record")</f>
        <v/>
      </c>
      <c r="AU8" t="inlineStr">
        <is>
          <t>489339:eng</t>
        </is>
      </c>
      <c r="AV8" t="inlineStr">
        <is>
          <t>5990571</t>
        </is>
      </c>
      <c r="AW8" t="inlineStr">
        <is>
          <t>991003142689702656</t>
        </is>
      </c>
      <c r="AX8" t="inlineStr">
        <is>
          <t>991003142689702656</t>
        </is>
      </c>
      <c r="AY8" t="inlineStr">
        <is>
          <t>2260712560002656</t>
        </is>
      </c>
      <c r="AZ8" t="inlineStr">
        <is>
          <t>BOOK</t>
        </is>
      </c>
      <c r="BB8" t="inlineStr">
        <is>
          <t>9780823641703</t>
        </is>
      </c>
      <c r="BC8" t="inlineStr">
        <is>
          <t>32285000845833</t>
        </is>
      </c>
      <c r="BD8" t="inlineStr">
        <is>
          <t>893704950</t>
        </is>
      </c>
    </row>
    <row r="9">
      <c r="A9" t="inlineStr">
        <is>
          <t>No</t>
        </is>
      </c>
      <c r="B9" t="inlineStr">
        <is>
          <t>BF1 .P79 no.5</t>
        </is>
      </c>
      <c r="C9" t="inlineStr">
        <is>
          <t>0                      BF 0001000P  79                                                      no.5</t>
        </is>
      </c>
      <c r="D9" t="inlineStr">
        <is>
          <t>The developmental psychologies of Jean Piaget and psychoanalysis.</t>
        </is>
      </c>
      <c r="E9" t="inlineStr">
        <is>
          <t>no.5*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Wolff, Peter H.</t>
        </is>
      </c>
      <c r="L9" t="inlineStr">
        <is>
          <t>New York : International Universities Press, 1960.</t>
        </is>
      </c>
      <c r="M9" t="inlineStr">
        <is>
          <t>1960</t>
        </is>
      </c>
      <c r="O9" t="inlineStr">
        <is>
          <t>eng</t>
        </is>
      </c>
      <c r="P9" t="inlineStr">
        <is>
          <t>nyu</t>
        </is>
      </c>
      <c r="Q9" t="inlineStr">
        <is>
          <t>Psychological issues ; v. 2, no. 1, monograph 5</t>
        </is>
      </c>
      <c r="R9" t="inlineStr">
        <is>
          <t xml:space="preserve">BF </t>
        </is>
      </c>
      <c r="S9" t="n">
        <v>4</v>
      </c>
      <c r="T9" t="n">
        <v>4</v>
      </c>
      <c r="U9" t="inlineStr">
        <is>
          <t>1996-09-30</t>
        </is>
      </c>
      <c r="V9" t="inlineStr">
        <is>
          <t>1996-09-30</t>
        </is>
      </c>
      <c r="W9" t="inlineStr">
        <is>
          <t>1992-04-08</t>
        </is>
      </c>
      <c r="X9" t="inlineStr">
        <is>
          <t>1992-04-08</t>
        </is>
      </c>
      <c r="Y9" t="n">
        <v>539</v>
      </c>
      <c r="Z9" t="n">
        <v>454</v>
      </c>
      <c r="AA9" t="n">
        <v>465</v>
      </c>
      <c r="AB9" t="n">
        <v>4</v>
      </c>
      <c r="AC9" t="n">
        <v>4</v>
      </c>
      <c r="AD9" t="n">
        <v>28</v>
      </c>
      <c r="AE9" t="n">
        <v>28</v>
      </c>
      <c r="AF9" t="n">
        <v>9</v>
      </c>
      <c r="AG9" t="n">
        <v>9</v>
      </c>
      <c r="AH9" t="n">
        <v>8</v>
      </c>
      <c r="AI9" t="n">
        <v>8</v>
      </c>
      <c r="AJ9" t="n">
        <v>16</v>
      </c>
      <c r="AK9" t="n">
        <v>16</v>
      </c>
      <c r="AL9" t="n">
        <v>3</v>
      </c>
      <c r="AM9" t="n">
        <v>3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HYPERLINK("http://catalog.hathitrust.org/Record/000428086","HathiTrust Record")</f>
        <v/>
      </c>
      <c r="AS9">
        <f>HYPERLINK("https://creighton-primo.hosted.exlibrisgroup.com/primo-explore/search?tab=default_tab&amp;search_scope=EVERYTHING&amp;vid=01CRU&amp;lang=en_US&amp;offset=0&amp;query=any,contains,991004207779702656","Catalog Record")</f>
        <v/>
      </c>
      <c r="AT9">
        <f>HYPERLINK("http://www.worldcat.org/oclc/2672362","WorldCat Record")</f>
        <v/>
      </c>
      <c r="AU9" t="inlineStr">
        <is>
          <t>5750933:eng</t>
        </is>
      </c>
      <c r="AV9" t="inlineStr">
        <is>
          <t>2672362</t>
        </is>
      </c>
      <c r="AW9" t="inlineStr">
        <is>
          <t>991004207779702656</t>
        </is>
      </c>
      <c r="AX9" t="inlineStr">
        <is>
          <t>991004207779702656</t>
        </is>
      </c>
      <c r="AY9" t="inlineStr">
        <is>
          <t>2260643430002656</t>
        </is>
      </c>
      <c r="AZ9" t="inlineStr">
        <is>
          <t>BOOK</t>
        </is>
      </c>
      <c r="BC9" t="inlineStr">
        <is>
          <t>32285000845593</t>
        </is>
      </c>
      <c r="BD9" t="inlineStr">
        <is>
          <t>893519371</t>
        </is>
      </c>
    </row>
    <row r="10">
      <c r="A10" t="inlineStr">
        <is>
          <t>No</t>
        </is>
      </c>
      <c r="B10" t="inlineStr">
        <is>
          <t>BF1 .P79 no.52</t>
        </is>
      </c>
      <c r="C10" t="inlineStr">
        <is>
          <t>0                      BF 0001000P  79                                                      no.52</t>
        </is>
      </c>
      <c r="D10" t="inlineStr">
        <is>
          <t>Anxiety and defensive strategies in childhood and adolescence / Gudmund J.W. Smith and Anna Danielsson.</t>
        </is>
      </c>
      <c r="E10" t="inlineStr">
        <is>
          <t>no.52*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Smith, Gudmund J. W.</t>
        </is>
      </c>
      <c r="L10" t="inlineStr">
        <is>
          <t>New York : International Universities Press, 1982.</t>
        </is>
      </c>
      <c r="M10" t="inlineStr">
        <is>
          <t>1982</t>
        </is>
      </c>
      <c r="O10" t="inlineStr">
        <is>
          <t>eng</t>
        </is>
      </c>
      <c r="P10" t="inlineStr">
        <is>
          <t>nyu</t>
        </is>
      </c>
      <c r="Q10" t="inlineStr">
        <is>
          <t>Psychological issues ; monograph 52</t>
        </is>
      </c>
      <c r="R10" t="inlineStr">
        <is>
          <t xml:space="preserve">BF </t>
        </is>
      </c>
      <c r="S10" t="n">
        <v>2</v>
      </c>
      <c r="T10" t="n">
        <v>2</v>
      </c>
      <c r="U10" t="inlineStr">
        <is>
          <t>2004-03-02</t>
        </is>
      </c>
      <c r="V10" t="inlineStr">
        <is>
          <t>2004-03-02</t>
        </is>
      </c>
      <c r="W10" t="inlineStr">
        <is>
          <t>2000-06-15</t>
        </is>
      </c>
      <c r="X10" t="inlineStr">
        <is>
          <t>2000-06-15</t>
        </is>
      </c>
      <c r="Y10" t="n">
        <v>379</v>
      </c>
      <c r="Z10" t="n">
        <v>312</v>
      </c>
      <c r="AA10" t="n">
        <v>314</v>
      </c>
      <c r="AB10" t="n">
        <v>5</v>
      </c>
      <c r="AC10" t="n">
        <v>5</v>
      </c>
      <c r="AD10" t="n">
        <v>10</v>
      </c>
      <c r="AE10" t="n">
        <v>10</v>
      </c>
      <c r="AF10" t="n">
        <v>1</v>
      </c>
      <c r="AG10" t="n">
        <v>1</v>
      </c>
      <c r="AH10" t="n">
        <v>2</v>
      </c>
      <c r="AI10" t="n">
        <v>2</v>
      </c>
      <c r="AJ10" t="n">
        <v>6</v>
      </c>
      <c r="AK10" t="n">
        <v>6</v>
      </c>
      <c r="AL10" t="n">
        <v>3</v>
      </c>
      <c r="AM10" t="n">
        <v>3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HYPERLINK("http://catalog.hathitrust.org/Record/000228742","HathiTrust Record")</f>
        <v/>
      </c>
      <c r="AS10">
        <f>HYPERLINK("https://creighton-primo.hosted.exlibrisgroup.com/primo-explore/search?tab=default_tab&amp;search_scope=EVERYTHING&amp;vid=01CRU&amp;lang=en_US&amp;offset=0&amp;query=any,contains,991003157249702656","Catalog Record")</f>
        <v/>
      </c>
      <c r="AT10">
        <f>HYPERLINK("http://www.worldcat.org/oclc/8115050","WorldCat Record")</f>
        <v/>
      </c>
      <c r="AU10" t="inlineStr">
        <is>
          <t>30879914:eng</t>
        </is>
      </c>
      <c r="AV10" t="inlineStr">
        <is>
          <t>8115050</t>
        </is>
      </c>
      <c r="AW10" t="inlineStr">
        <is>
          <t>991003157249702656</t>
        </is>
      </c>
      <c r="AX10" t="inlineStr">
        <is>
          <t>991003157249702656</t>
        </is>
      </c>
      <c r="AY10" t="inlineStr">
        <is>
          <t>2257920840002656</t>
        </is>
      </c>
      <c r="AZ10" t="inlineStr">
        <is>
          <t>BOOK</t>
        </is>
      </c>
      <c r="BB10" t="inlineStr">
        <is>
          <t>9780823603893</t>
        </is>
      </c>
      <c r="BC10" t="inlineStr">
        <is>
          <t>32285000845841</t>
        </is>
      </c>
      <c r="BD10" t="inlineStr">
        <is>
          <t>893874480</t>
        </is>
      </c>
    </row>
    <row r="11">
      <c r="A11" t="inlineStr">
        <is>
          <t>No</t>
        </is>
      </c>
      <c r="B11" t="inlineStr">
        <is>
          <t>BF1 .P79 no.8</t>
        </is>
      </c>
      <c r="C11" t="inlineStr">
        <is>
          <t>0                      BF 0001000P  79                                                      no.8</t>
        </is>
      </c>
      <c r="D11" t="inlineStr">
        <is>
          <t>Personality organization in cognitive controls and intellectual abilities / by Riley W. Gardner, Douglas N. Jackson [and] Samuel J. Messick.</t>
        </is>
      </c>
      <c r="E11" t="inlineStr">
        <is>
          <t>no.8*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Gardner, Riley W. (Riley Wetherell), 1921-2007.</t>
        </is>
      </c>
      <c r="L11" t="inlineStr">
        <is>
          <t>New York : International Universities Press, c1960.</t>
        </is>
      </c>
      <c r="M11" t="inlineStr">
        <is>
          <t>1960</t>
        </is>
      </c>
      <c r="O11" t="inlineStr">
        <is>
          <t>eng</t>
        </is>
      </c>
      <c r="P11" t="inlineStr">
        <is>
          <t>nyu</t>
        </is>
      </c>
      <c r="Q11" t="inlineStr">
        <is>
          <t>Psychological issues, v. 2, no. 4. Monograph 8</t>
        </is>
      </c>
      <c r="R11" t="inlineStr">
        <is>
          <t xml:space="preserve">BF </t>
        </is>
      </c>
      <c r="S11" t="n">
        <v>2</v>
      </c>
      <c r="T11" t="n">
        <v>2</v>
      </c>
      <c r="U11" t="inlineStr">
        <is>
          <t>1995-10-30</t>
        </is>
      </c>
      <c r="V11" t="inlineStr">
        <is>
          <t>1995-10-30</t>
        </is>
      </c>
      <c r="W11" t="inlineStr">
        <is>
          <t>1992-04-08</t>
        </is>
      </c>
      <c r="X11" t="inlineStr">
        <is>
          <t>1992-04-08</t>
        </is>
      </c>
      <c r="Y11" t="n">
        <v>294</v>
      </c>
      <c r="Z11" t="n">
        <v>250</v>
      </c>
      <c r="AA11" t="n">
        <v>334</v>
      </c>
      <c r="AB11" t="n">
        <v>3</v>
      </c>
      <c r="AC11" t="n">
        <v>4</v>
      </c>
      <c r="AD11" t="n">
        <v>13</v>
      </c>
      <c r="AE11" t="n">
        <v>19</v>
      </c>
      <c r="AF11" t="n">
        <v>2</v>
      </c>
      <c r="AG11" t="n">
        <v>4</v>
      </c>
      <c r="AH11" t="n">
        <v>4</v>
      </c>
      <c r="AI11" t="n">
        <v>4</v>
      </c>
      <c r="AJ11" t="n">
        <v>7</v>
      </c>
      <c r="AK11" t="n">
        <v>10</v>
      </c>
      <c r="AL11" t="n">
        <v>2</v>
      </c>
      <c r="AM11" t="n">
        <v>3</v>
      </c>
      <c r="AN11" t="n">
        <v>0</v>
      </c>
      <c r="AO11" t="n">
        <v>0</v>
      </c>
      <c r="AP11" t="inlineStr">
        <is>
          <t>Yes</t>
        </is>
      </c>
      <c r="AQ11" t="inlineStr">
        <is>
          <t>No</t>
        </is>
      </c>
      <c r="AR11">
        <f>HYPERLINK("http://catalog.hathitrust.org/Record/002093191","HathiTrust Record")</f>
        <v/>
      </c>
      <c r="AS11">
        <f>HYPERLINK("https://creighton-primo.hosted.exlibrisgroup.com/primo-explore/search?tab=default_tab&amp;search_scope=EVERYTHING&amp;vid=01CRU&amp;lang=en_US&amp;offset=0&amp;query=any,contains,991001902919702656","Catalog Record")</f>
        <v/>
      </c>
      <c r="AT11">
        <f>HYPERLINK("http://www.worldcat.org/oclc/239401","WorldCat Record")</f>
        <v/>
      </c>
      <c r="AU11" t="inlineStr">
        <is>
          <t>1379566:eng</t>
        </is>
      </c>
      <c r="AV11" t="inlineStr">
        <is>
          <t>239401</t>
        </is>
      </c>
      <c r="AW11" t="inlineStr">
        <is>
          <t>991001902919702656</t>
        </is>
      </c>
      <c r="AX11" t="inlineStr">
        <is>
          <t>991001902919702656</t>
        </is>
      </c>
      <c r="AY11" t="inlineStr">
        <is>
          <t>2256780280002656</t>
        </is>
      </c>
      <c r="AZ11" t="inlineStr">
        <is>
          <t>BOOK</t>
        </is>
      </c>
      <c r="BC11" t="inlineStr">
        <is>
          <t>32285000845627</t>
        </is>
      </c>
      <c r="BD11" t="inlineStr">
        <is>
          <t>893503785</t>
        </is>
      </c>
    </row>
    <row r="12">
      <c r="A12" t="inlineStr">
        <is>
          <t>No</t>
        </is>
      </c>
      <c r="B12" t="inlineStr">
        <is>
          <t>BF1023 .M8 1975</t>
        </is>
      </c>
      <c r="C12" t="inlineStr">
        <is>
          <t>0                      BF 1023000M  8           1975</t>
        </is>
      </c>
      <c r="D12" t="inlineStr">
        <is>
          <t>The case for and against psychical belief / edited by Carl Murchison.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Murchison, Carl, 1887-1961 editor.</t>
        </is>
      </c>
      <c r="L12" t="inlineStr">
        <is>
          <t>New York : Arno Press, 1975 [c1927]</t>
        </is>
      </c>
      <c r="M12" t="inlineStr">
        <is>
          <t>1975</t>
        </is>
      </c>
      <c r="O12" t="inlineStr">
        <is>
          <t>eng</t>
        </is>
      </c>
      <c r="P12" t="inlineStr">
        <is>
          <t>nyu</t>
        </is>
      </c>
      <c r="Q12" t="inlineStr">
        <is>
          <t>Perspectives in psychical research</t>
        </is>
      </c>
      <c r="R12" t="inlineStr">
        <is>
          <t xml:space="preserve">BF </t>
        </is>
      </c>
      <c r="S12" t="n">
        <v>5</v>
      </c>
      <c r="T12" t="n">
        <v>5</v>
      </c>
      <c r="U12" t="inlineStr">
        <is>
          <t>2006-12-03</t>
        </is>
      </c>
      <c r="V12" t="inlineStr">
        <is>
          <t>2006-12-03</t>
        </is>
      </c>
      <c r="W12" t="inlineStr">
        <is>
          <t>1996-08-07</t>
        </is>
      </c>
      <c r="X12" t="inlineStr">
        <is>
          <t>1996-08-07</t>
        </is>
      </c>
      <c r="Y12" t="n">
        <v>64</v>
      </c>
      <c r="Z12" t="n">
        <v>57</v>
      </c>
      <c r="AA12" t="n">
        <v>341</v>
      </c>
      <c r="AB12" t="n">
        <v>1</v>
      </c>
      <c r="AC12" t="n">
        <v>2</v>
      </c>
      <c r="AD12" t="n">
        <v>0</v>
      </c>
      <c r="AE12" t="n">
        <v>12</v>
      </c>
      <c r="AF12" t="n">
        <v>0</v>
      </c>
      <c r="AG12" t="n">
        <v>4</v>
      </c>
      <c r="AH12" t="n">
        <v>0</v>
      </c>
      <c r="AI12" t="n">
        <v>1</v>
      </c>
      <c r="AJ12" t="n">
        <v>0</v>
      </c>
      <c r="AK12" t="n">
        <v>9</v>
      </c>
      <c r="AL12" t="n">
        <v>0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HYPERLINK("https://creighton-primo.hosted.exlibrisgroup.com/primo-explore/search?tab=default_tab&amp;search_scope=EVERYTHING&amp;vid=01CRU&amp;lang=en_US&amp;offset=0&amp;query=any,contains,991003704499702656","Catalog Record")</f>
        <v/>
      </c>
      <c r="AT12">
        <f>HYPERLINK("http://www.worldcat.org/oclc/1341365","WorldCat Record")</f>
        <v/>
      </c>
      <c r="AU12" t="inlineStr">
        <is>
          <t>1504350:eng</t>
        </is>
      </c>
      <c r="AV12" t="inlineStr">
        <is>
          <t>1341365</t>
        </is>
      </c>
      <c r="AW12" t="inlineStr">
        <is>
          <t>991003704499702656</t>
        </is>
      </c>
      <c r="AX12" t="inlineStr">
        <is>
          <t>991003704499702656</t>
        </is>
      </c>
      <c r="AY12" t="inlineStr">
        <is>
          <t>2262383340002656</t>
        </is>
      </c>
      <c r="AZ12" t="inlineStr">
        <is>
          <t>BOOK</t>
        </is>
      </c>
      <c r="BB12" t="inlineStr">
        <is>
          <t>9780405070372</t>
        </is>
      </c>
      <c r="BC12" t="inlineStr">
        <is>
          <t>32285002257755</t>
        </is>
      </c>
      <c r="BD12" t="inlineStr">
        <is>
          <t>893627721</t>
        </is>
      </c>
    </row>
    <row r="13">
      <c r="A13" t="inlineStr">
        <is>
          <t>No</t>
        </is>
      </c>
      <c r="B13" t="inlineStr">
        <is>
          <t>BF103 .R62</t>
        </is>
      </c>
      <c r="C13" t="inlineStr">
        <is>
          <t>0                      BF 0103000R  62</t>
        </is>
      </c>
      <c r="D13" t="inlineStr">
        <is>
          <t>Toward a science of human nature : essays on the psychologies of Mill, Hegel, Wundt, and James / Daniel N. Robinson.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Robinson, Daniel N., 1937-</t>
        </is>
      </c>
      <c r="L13" t="inlineStr">
        <is>
          <t>New York : Columbia University Press, 1982.</t>
        </is>
      </c>
      <c r="M13" t="inlineStr">
        <is>
          <t>1982</t>
        </is>
      </c>
      <c r="O13" t="inlineStr">
        <is>
          <t>eng</t>
        </is>
      </c>
      <c r="P13" t="inlineStr">
        <is>
          <t>nyu</t>
        </is>
      </c>
      <c r="R13" t="inlineStr">
        <is>
          <t xml:space="preserve">BF </t>
        </is>
      </c>
      <c r="S13" t="n">
        <v>1</v>
      </c>
      <c r="T13" t="n">
        <v>1</v>
      </c>
      <c r="U13" t="inlineStr">
        <is>
          <t>1995-04-25</t>
        </is>
      </c>
      <c r="V13" t="inlineStr">
        <is>
          <t>1995-04-25</t>
        </is>
      </c>
      <c r="W13" t="inlineStr">
        <is>
          <t>1990-08-09</t>
        </is>
      </c>
      <c r="X13" t="inlineStr">
        <is>
          <t>1990-08-09</t>
        </is>
      </c>
      <c r="Y13" t="n">
        <v>692</v>
      </c>
      <c r="Z13" t="n">
        <v>576</v>
      </c>
      <c r="AA13" t="n">
        <v>742</v>
      </c>
      <c r="AB13" t="n">
        <v>5</v>
      </c>
      <c r="AC13" t="n">
        <v>5</v>
      </c>
      <c r="AD13" t="n">
        <v>30</v>
      </c>
      <c r="AE13" t="n">
        <v>31</v>
      </c>
      <c r="AF13" t="n">
        <v>13</v>
      </c>
      <c r="AG13" t="n">
        <v>14</v>
      </c>
      <c r="AH13" t="n">
        <v>5</v>
      </c>
      <c r="AI13" t="n">
        <v>5</v>
      </c>
      <c r="AJ13" t="n">
        <v>17</v>
      </c>
      <c r="AK13" t="n">
        <v>17</v>
      </c>
      <c r="AL13" t="n">
        <v>4</v>
      </c>
      <c r="AM13" t="n">
        <v>4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HYPERLINK("https://creighton-primo.hosted.exlibrisgroup.com/primo-explore/search?tab=default_tab&amp;search_scope=EVERYTHING&amp;vid=01CRU&amp;lang=en_US&amp;offset=0&amp;query=any,contains,991005153339702656","Catalog Record")</f>
        <v/>
      </c>
      <c r="AT13">
        <f>HYPERLINK("http://www.worldcat.org/oclc/7736047","WorldCat Record")</f>
        <v/>
      </c>
      <c r="AU13" t="inlineStr">
        <is>
          <t>800090318:eng</t>
        </is>
      </c>
      <c r="AV13" t="inlineStr">
        <is>
          <t>7736047</t>
        </is>
      </c>
      <c r="AW13" t="inlineStr">
        <is>
          <t>991005153339702656</t>
        </is>
      </c>
      <c r="AX13" t="inlineStr">
        <is>
          <t>991005153339702656</t>
        </is>
      </c>
      <c r="AY13" t="inlineStr">
        <is>
          <t>2255360870002656</t>
        </is>
      </c>
      <c r="AZ13" t="inlineStr">
        <is>
          <t>BOOK</t>
        </is>
      </c>
      <c r="BB13" t="inlineStr">
        <is>
          <t>9780231051743</t>
        </is>
      </c>
      <c r="BC13" t="inlineStr">
        <is>
          <t>32285000280544</t>
        </is>
      </c>
      <c r="BD13" t="inlineStr">
        <is>
          <t>893412406</t>
        </is>
      </c>
    </row>
    <row r="14">
      <c r="A14" t="inlineStr">
        <is>
          <t>No</t>
        </is>
      </c>
      <c r="B14" t="inlineStr">
        <is>
          <t>BF1031 .B74 1969</t>
        </is>
      </c>
      <c r="C14" t="inlineStr">
        <is>
          <t>0                      BF 1031000B  74          1969</t>
        </is>
      </c>
      <c r="D14" t="inlineStr">
        <is>
          <t>Religion, philosophy, and psychical research; selected essays. By C. D. Broad.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Broad, C. D. (Charlie Dunbar), 1887-1971.</t>
        </is>
      </c>
      <c r="L14" t="inlineStr">
        <is>
          <t>New York, Humanities Press, 1969 [1953]</t>
        </is>
      </c>
      <c r="M14" t="inlineStr">
        <is>
          <t>1969</t>
        </is>
      </c>
      <c r="O14" t="inlineStr">
        <is>
          <t>eng</t>
        </is>
      </c>
      <c r="P14" t="inlineStr">
        <is>
          <t>nyu</t>
        </is>
      </c>
      <c r="Q14" t="inlineStr">
        <is>
          <t>International library of psychology, philosophy, and scientific method</t>
        </is>
      </c>
      <c r="R14" t="inlineStr">
        <is>
          <t xml:space="preserve">BF </t>
        </is>
      </c>
      <c r="S14" t="n">
        <v>8</v>
      </c>
      <c r="T14" t="n">
        <v>8</v>
      </c>
      <c r="U14" t="inlineStr">
        <is>
          <t>2005-09-15</t>
        </is>
      </c>
      <c r="V14" t="inlineStr">
        <is>
          <t>2005-09-15</t>
        </is>
      </c>
      <c r="W14" t="inlineStr">
        <is>
          <t>1996-08-07</t>
        </is>
      </c>
      <c r="X14" t="inlineStr">
        <is>
          <t>1996-08-07</t>
        </is>
      </c>
      <c r="Y14" t="n">
        <v>206</v>
      </c>
      <c r="Z14" t="n">
        <v>178</v>
      </c>
      <c r="AA14" t="n">
        <v>299</v>
      </c>
      <c r="AB14" t="n">
        <v>3</v>
      </c>
      <c r="AC14" t="n">
        <v>3</v>
      </c>
      <c r="AD14" t="n">
        <v>9</v>
      </c>
      <c r="AE14" t="n">
        <v>13</v>
      </c>
      <c r="AF14" t="n">
        <v>3</v>
      </c>
      <c r="AG14" t="n">
        <v>4</v>
      </c>
      <c r="AH14" t="n">
        <v>2</v>
      </c>
      <c r="AI14" t="n">
        <v>4</v>
      </c>
      <c r="AJ14" t="n">
        <v>5</v>
      </c>
      <c r="AK14" t="n">
        <v>8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HYPERLINK("http://catalog.hathitrust.org/Record/000011544","HathiTrust Record")</f>
        <v/>
      </c>
      <c r="AS14">
        <f>HYPERLINK("https://creighton-primo.hosted.exlibrisgroup.com/primo-explore/search?tab=default_tab&amp;search_scope=EVERYTHING&amp;vid=01CRU&amp;lang=en_US&amp;offset=0&amp;query=any,contains,991003259659702656","Catalog Record")</f>
        <v/>
      </c>
      <c r="AT14">
        <f>HYPERLINK("http://www.worldcat.org/oclc/785295","WorldCat Record")</f>
        <v/>
      </c>
      <c r="AU14" t="inlineStr">
        <is>
          <t>1330353:eng</t>
        </is>
      </c>
      <c r="AV14" t="inlineStr">
        <is>
          <t>785295</t>
        </is>
      </c>
      <c r="AW14" t="inlineStr">
        <is>
          <t>991003259659702656</t>
        </is>
      </c>
      <c r="AX14" t="inlineStr">
        <is>
          <t>991003259659702656</t>
        </is>
      </c>
      <c r="AY14" t="inlineStr">
        <is>
          <t>2265656460002656</t>
        </is>
      </c>
      <c r="AZ14" t="inlineStr">
        <is>
          <t>BOOK</t>
        </is>
      </c>
      <c r="BC14" t="inlineStr">
        <is>
          <t>32285002257789</t>
        </is>
      </c>
      <c r="BD14" t="inlineStr">
        <is>
          <t>893799535</t>
        </is>
      </c>
    </row>
    <row r="15">
      <c r="A15" t="inlineStr">
        <is>
          <t>No</t>
        </is>
      </c>
      <c r="B15" t="inlineStr">
        <is>
          <t>BF1031 .B89 1975</t>
        </is>
      </c>
      <c r="C15" t="inlineStr">
        <is>
          <t>0                      BF 1031000B  89          1975</t>
        </is>
      </c>
      <c r="D15" t="inlineStr">
        <is>
          <t>ESP and psychology / Sir Cyril Burt ; edited by Anita Gregory.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Burt, Cyril, 1883-1971.</t>
        </is>
      </c>
      <c r="L15" t="inlineStr">
        <is>
          <t>New York : Halsted Press, [1975]</t>
        </is>
      </c>
      <c r="M15" t="inlineStr">
        <is>
          <t>1975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BF </t>
        </is>
      </c>
      <c r="S15" t="n">
        <v>4</v>
      </c>
      <c r="T15" t="n">
        <v>4</v>
      </c>
      <c r="U15" t="inlineStr">
        <is>
          <t>2000-10-09</t>
        </is>
      </c>
      <c r="V15" t="inlineStr">
        <is>
          <t>2000-10-09</t>
        </is>
      </c>
      <c r="W15" t="inlineStr">
        <is>
          <t>1990-10-01</t>
        </is>
      </c>
      <c r="X15" t="inlineStr">
        <is>
          <t>1990-10-01</t>
        </is>
      </c>
      <c r="Y15" t="n">
        <v>166</v>
      </c>
      <c r="Z15" t="n">
        <v>160</v>
      </c>
      <c r="AA15" t="n">
        <v>190</v>
      </c>
      <c r="AB15" t="n">
        <v>2</v>
      </c>
      <c r="AC15" t="n">
        <v>2</v>
      </c>
      <c r="AD15" t="n">
        <v>7</v>
      </c>
      <c r="AE15" t="n">
        <v>7</v>
      </c>
      <c r="AF15" t="n">
        <v>1</v>
      </c>
      <c r="AG15" t="n">
        <v>1</v>
      </c>
      <c r="AH15" t="n">
        <v>1</v>
      </c>
      <c r="AI15" t="n">
        <v>1</v>
      </c>
      <c r="AJ15" t="n">
        <v>4</v>
      </c>
      <c r="AK15" t="n">
        <v>4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Yes</t>
        </is>
      </c>
      <c r="AR15">
        <f>HYPERLINK("http://catalog.hathitrust.org/Record/000023690","HathiTrust Record")</f>
        <v/>
      </c>
      <c r="AS15">
        <f>HYPERLINK("https://creighton-primo.hosted.exlibrisgroup.com/primo-explore/search?tab=default_tab&amp;search_scope=EVERYTHING&amp;vid=01CRU&amp;lang=en_US&amp;offset=0&amp;query=any,contains,991003746909702656","Catalog Record")</f>
        <v/>
      </c>
      <c r="AT15">
        <f>HYPERLINK("http://www.worldcat.org/oclc/1418863","WorldCat Record")</f>
        <v/>
      </c>
      <c r="AU15" t="inlineStr">
        <is>
          <t>594678351:eng</t>
        </is>
      </c>
      <c r="AV15" t="inlineStr">
        <is>
          <t>1418863</t>
        </is>
      </c>
      <c r="AW15" t="inlineStr">
        <is>
          <t>991003746909702656</t>
        </is>
      </c>
      <c r="AX15" t="inlineStr">
        <is>
          <t>991003746909702656</t>
        </is>
      </c>
      <c r="AY15" t="inlineStr">
        <is>
          <t>2261107080002656</t>
        </is>
      </c>
      <c r="AZ15" t="inlineStr">
        <is>
          <t>BOOK</t>
        </is>
      </c>
      <c r="BB15" t="inlineStr">
        <is>
          <t>9780470125311</t>
        </is>
      </c>
      <c r="BC15" t="inlineStr">
        <is>
          <t>32285000323047</t>
        </is>
      </c>
      <c r="BD15" t="inlineStr">
        <is>
          <t>893429155</t>
        </is>
      </c>
    </row>
    <row r="16">
      <c r="A16" t="inlineStr">
        <is>
          <t>No</t>
        </is>
      </c>
      <c r="B16" t="inlineStr">
        <is>
          <t>BF1031 .C38</t>
        </is>
      </c>
      <c r="C16" t="inlineStr">
        <is>
          <t>0                      BF 1031000C  38</t>
        </is>
      </c>
      <c r="D16" t="inlineStr">
        <is>
          <t>Spiritualism, a fake : (can we communicate with the dead?) / by James J. Walsh.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Walsh, James J. (James Joseph), 1865-1942.</t>
        </is>
      </c>
      <c r="L16" t="inlineStr">
        <is>
          <t>Boston : Stratford Co., 1925.</t>
        </is>
      </c>
      <c r="M16" t="inlineStr">
        <is>
          <t>1925</t>
        </is>
      </c>
      <c r="O16" t="inlineStr">
        <is>
          <t>eng</t>
        </is>
      </c>
      <c r="P16" t="inlineStr">
        <is>
          <t>mau</t>
        </is>
      </c>
      <c r="R16" t="inlineStr">
        <is>
          <t xml:space="preserve">BF </t>
        </is>
      </c>
      <c r="S16" t="n">
        <v>3</v>
      </c>
      <c r="T16" t="n">
        <v>3</v>
      </c>
      <c r="U16" t="inlineStr">
        <is>
          <t>2006-12-03</t>
        </is>
      </c>
      <c r="V16" t="inlineStr">
        <is>
          <t>2006-12-03</t>
        </is>
      </c>
      <c r="W16" t="inlineStr">
        <is>
          <t>1996-08-07</t>
        </is>
      </c>
      <c r="X16" t="inlineStr">
        <is>
          <t>1996-08-07</t>
        </is>
      </c>
      <c r="Y16" t="n">
        <v>27</v>
      </c>
      <c r="Z16" t="n">
        <v>25</v>
      </c>
      <c r="AA16" t="n">
        <v>25</v>
      </c>
      <c r="AB16" t="n">
        <v>1</v>
      </c>
      <c r="AC16" t="n">
        <v>1</v>
      </c>
      <c r="AD16" t="n">
        <v>4</v>
      </c>
      <c r="AE16" t="n">
        <v>4</v>
      </c>
      <c r="AF16" t="n">
        <v>0</v>
      </c>
      <c r="AG16" t="n">
        <v>0</v>
      </c>
      <c r="AH16" t="n">
        <v>1</v>
      </c>
      <c r="AI16" t="n">
        <v>1</v>
      </c>
      <c r="AJ16" t="n">
        <v>3</v>
      </c>
      <c r="AK16" t="n">
        <v>3</v>
      </c>
      <c r="AL16" t="n">
        <v>0</v>
      </c>
      <c r="AM16" t="n">
        <v>0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HYPERLINK("https://creighton-primo.hosted.exlibrisgroup.com/primo-explore/search?tab=default_tab&amp;search_scope=EVERYTHING&amp;vid=01CRU&amp;lang=en_US&amp;offset=0&amp;query=any,contains,991004168209702656","Catalog Record")</f>
        <v/>
      </c>
      <c r="AT16">
        <f>HYPERLINK("http://www.worldcat.org/oclc/2571572","WorldCat Record")</f>
        <v/>
      </c>
      <c r="AU16" t="inlineStr">
        <is>
          <t>4542363226:eng</t>
        </is>
      </c>
      <c r="AV16" t="inlineStr">
        <is>
          <t>2571572</t>
        </is>
      </c>
      <c r="AW16" t="inlineStr">
        <is>
          <t>991004168209702656</t>
        </is>
      </c>
      <c r="AX16" t="inlineStr">
        <is>
          <t>991004168209702656</t>
        </is>
      </c>
      <c r="AY16" t="inlineStr">
        <is>
          <t>2263141640002656</t>
        </is>
      </c>
      <c r="AZ16" t="inlineStr">
        <is>
          <t>BOOK</t>
        </is>
      </c>
      <c r="BC16" t="inlineStr">
        <is>
          <t>32285002257813</t>
        </is>
      </c>
      <c r="BD16" t="inlineStr">
        <is>
          <t>893506489</t>
        </is>
      </c>
    </row>
    <row r="17">
      <c r="A17" t="inlineStr">
        <is>
          <t>No</t>
        </is>
      </c>
      <c r="B17" t="inlineStr">
        <is>
          <t>BF1031 .E42</t>
        </is>
      </c>
      <c r="C17" t="inlineStr">
        <is>
          <t>0                      BF 1031000E  42</t>
        </is>
      </c>
      <c r="D17" t="inlineStr">
        <is>
          <t>Miracles of the mind : an introduction to parapsychology.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Edmunds, Simeon.</t>
        </is>
      </c>
      <c r="L17" t="inlineStr">
        <is>
          <t>Springfield, Ill. : C. C. Thomas, [c1965]</t>
        </is>
      </c>
      <c r="M17" t="inlineStr">
        <is>
          <t>1965</t>
        </is>
      </c>
      <c r="O17" t="inlineStr">
        <is>
          <t>eng</t>
        </is>
      </c>
      <c r="P17" t="inlineStr">
        <is>
          <t>ilu</t>
        </is>
      </c>
      <c r="R17" t="inlineStr">
        <is>
          <t xml:space="preserve">BF </t>
        </is>
      </c>
      <c r="S17" t="n">
        <v>7</v>
      </c>
      <c r="T17" t="n">
        <v>7</v>
      </c>
      <c r="U17" t="inlineStr">
        <is>
          <t>2002-07-10</t>
        </is>
      </c>
      <c r="V17" t="inlineStr">
        <is>
          <t>2002-07-10</t>
        </is>
      </c>
      <c r="W17" t="inlineStr">
        <is>
          <t>1990-10-01</t>
        </is>
      </c>
      <c r="X17" t="inlineStr">
        <is>
          <t>1990-10-01</t>
        </is>
      </c>
      <c r="Y17" t="n">
        <v>135</v>
      </c>
      <c r="Z17" t="n">
        <v>122</v>
      </c>
      <c r="AA17" t="n">
        <v>125</v>
      </c>
      <c r="AB17" t="n">
        <v>1</v>
      </c>
      <c r="AC17" t="n">
        <v>1</v>
      </c>
      <c r="AD17" t="n">
        <v>4</v>
      </c>
      <c r="AE17" t="n">
        <v>4</v>
      </c>
      <c r="AF17" t="n">
        <v>2</v>
      </c>
      <c r="AG17" t="n">
        <v>2</v>
      </c>
      <c r="AH17" t="n">
        <v>0</v>
      </c>
      <c r="AI17" t="n">
        <v>0</v>
      </c>
      <c r="AJ17" t="n">
        <v>2</v>
      </c>
      <c r="AK17" t="n">
        <v>2</v>
      </c>
      <c r="AL17" t="n">
        <v>0</v>
      </c>
      <c r="AM17" t="n">
        <v>0</v>
      </c>
      <c r="AN17" t="n">
        <v>0</v>
      </c>
      <c r="AO17" t="n">
        <v>0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HYPERLINK("http://catalog.hathitrust.org/Record/000473475","HathiTrust Record")</f>
        <v/>
      </c>
      <c r="AS17">
        <f>HYPERLINK("https://creighton-primo.hosted.exlibrisgroup.com/primo-explore/search?tab=default_tab&amp;search_scope=EVERYTHING&amp;vid=01CRU&amp;lang=en_US&amp;offset=0&amp;query=any,contains,991003944379702656","Catalog Record")</f>
        <v/>
      </c>
      <c r="AT17">
        <f>HYPERLINK("http://www.worldcat.org/oclc/1942593","WorldCat Record")</f>
        <v/>
      </c>
      <c r="AU17" t="inlineStr">
        <is>
          <t>308815859:eng</t>
        </is>
      </c>
      <c r="AV17" t="inlineStr">
        <is>
          <t>1942593</t>
        </is>
      </c>
      <c r="AW17" t="inlineStr">
        <is>
          <t>991003944379702656</t>
        </is>
      </c>
      <c r="AX17" t="inlineStr">
        <is>
          <t>991003944379702656</t>
        </is>
      </c>
      <c r="AY17" t="inlineStr">
        <is>
          <t>2262545070002656</t>
        </is>
      </c>
      <c r="AZ17" t="inlineStr">
        <is>
          <t>BOOK</t>
        </is>
      </c>
      <c r="BC17" t="inlineStr">
        <is>
          <t>32285000323054</t>
        </is>
      </c>
      <c r="BD17" t="inlineStr">
        <is>
          <t>893234854</t>
        </is>
      </c>
    </row>
    <row r="18">
      <c r="A18" t="inlineStr">
        <is>
          <t>No</t>
        </is>
      </c>
      <c r="B18" t="inlineStr">
        <is>
          <t>BF1031 .E47</t>
        </is>
      </c>
      <c r="C18" t="inlineStr">
        <is>
          <t>0                      BF 1031000E  47</t>
        </is>
      </c>
      <c r="D18" t="inlineStr">
        <is>
          <t>The ESP experience : a psychiatric validation / Jan Ehrenwald. --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Ehrenwald, Jan, 1900-1988.</t>
        </is>
      </c>
      <c r="L18" t="inlineStr">
        <is>
          <t>New York : Basic Books, c1978.</t>
        </is>
      </c>
      <c r="M18" t="inlineStr">
        <is>
          <t>1978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BF </t>
        </is>
      </c>
      <c r="S18" t="n">
        <v>6</v>
      </c>
      <c r="T18" t="n">
        <v>6</v>
      </c>
      <c r="U18" t="inlineStr">
        <is>
          <t>2008-03-26</t>
        </is>
      </c>
      <c r="V18" t="inlineStr">
        <is>
          <t>2008-03-26</t>
        </is>
      </c>
      <c r="W18" t="inlineStr">
        <is>
          <t>1990-02-12</t>
        </is>
      </c>
      <c r="X18" t="inlineStr">
        <is>
          <t>1990-02-12</t>
        </is>
      </c>
      <c r="Y18" t="n">
        <v>552</v>
      </c>
      <c r="Z18" t="n">
        <v>486</v>
      </c>
      <c r="AA18" t="n">
        <v>493</v>
      </c>
      <c r="AB18" t="n">
        <v>6</v>
      </c>
      <c r="AC18" t="n">
        <v>6</v>
      </c>
      <c r="AD18" t="n">
        <v>11</v>
      </c>
      <c r="AE18" t="n">
        <v>11</v>
      </c>
      <c r="AF18" t="n">
        <v>4</v>
      </c>
      <c r="AG18" t="n">
        <v>4</v>
      </c>
      <c r="AH18" t="n">
        <v>2</v>
      </c>
      <c r="AI18" t="n">
        <v>2</v>
      </c>
      <c r="AJ18" t="n">
        <v>3</v>
      </c>
      <c r="AK18" t="n">
        <v>3</v>
      </c>
      <c r="AL18" t="n">
        <v>4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HYPERLINK("http://catalog.hathitrust.org/Record/000093193","HathiTrust Record")</f>
        <v/>
      </c>
      <c r="AS18">
        <f>HYPERLINK("https://creighton-primo.hosted.exlibrisgroup.com/primo-explore/search?tab=default_tab&amp;search_scope=EVERYTHING&amp;vid=01CRU&amp;lang=en_US&amp;offset=0&amp;query=any,contains,991004490549702656","Catalog Record")</f>
        <v/>
      </c>
      <c r="AT18">
        <f>HYPERLINK("http://www.worldcat.org/oclc/3658376","WorldCat Record")</f>
        <v/>
      </c>
      <c r="AU18" t="inlineStr">
        <is>
          <t>11241338:eng</t>
        </is>
      </c>
      <c r="AV18" t="inlineStr">
        <is>
          <t>3658376</t>
        </is>
      </c>
      <c r="AW18" t="inlineStr">
        <is>
          <t>991004490549702656</t>
        </is>
      </c>
      <c r="AX18" t="inlineStr">
        <is>
          <t>991004490549702656</t>
        </is>
      </c>
      <c r="AY18" t="inlineStr">
        <is>
          <t>2255188320002656</t>
        </is>
      </c>
      <c r="AZ18" t="inlineStr">
        <is>
          <t>BOOK</t>
        </is>
      </c>
      <c r="BB18" t="inlineStr">
        <is>
          <t>9780465020560</t>
        </is>
      </c>
      <c r="BC18" t="inlineStr">
        <is>
          <t>32285000009778</t>
        </is>
      </c>
      <c r="BD18" t="inlineStr">
        <is>
          <t>893904888</t>
        </is>
      </c>
    </row>
    <row r="19">
      <c r="A19" t="inlineStr">
        <is>
          <t>No</t>
        </is>
      </c>
      <c r="B19" t="inlineStr">
        <is>
          <t>BF1031 .E52 1982</t>
        </is>
      </c>
      <c r="C19" t="inlineStr">
        <is>
          <t>0                      BF 1031000E  52          1982</t>
        </is>
      </c>
      <c r="D19" t="inlineStr">
        <is>
          <t>Encounters with parapsychology / edited and published by R.A. McConnell.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[Pittsburgh, Pa.?] : McConnell, c1982.</t>
        </is>
      </c>
      <c r="M19" t="inlineStr">
        <is>
          <t>1982</t>
        </is>
      </c>
      <c r="O19" t="inlineStr">
        <is>
          <t>eng</t>
        </is>
      </c>
      <c r="P19" t="inlineStr">
        <is>
          <t>pau</t>
        </is>
      </c>
      <c r="R19" t="inlineStr">
        <is>
          <t xml:space="preserve">BF </t>
        </is>
      </c>
      <c r="S19" t="n">
        <v>13</v>
      </c>
      <c r="T19" t="n">
        <v>13</v>
      </c>
      <c r="U19" t="inlineStr">
        <is>
          <t>2008-03-26</t>
        </is>
      </c>
      <c r="V19" t="inlineStr">
        <is>
          <t>2008-03-26</t>
        </is>
      </c>
      <c r="W19" t="inlineStr">
        <is>
          <t>1992-02-25</t>
        </is>
      </c>
      <c r="X19" t="inlineStr">
        <is>
          <t>1992-02-25</t>
        </is>
      </c>
      <c r="Y19" t="n">
        <v>305</v>
      </c>
      <c r="Z19" t="n">
        <v>255</v>
      </c>
      <c r="AA19" t="n">
        <v>306</v>
      </c>
      <c r="AB19" t="n">
        <v>3</v>
      </c>
      <c r="AC19" t="n">
        <v>3</v>
      </c>
      <c r="AD19" t="n">
        <v>11</v>
      </c>
      <c r="AE19" t="n">
        <v>12</v>
      </c>
      <c r="AF19" t="n">
        <v>3</v>
      </c>
      <c r="AG19" t="n">
        <v>4</v>
      </c>
      <c r="AH19" t="n">
        <v>0</v>
      </c>
      <c r="AI19" t="n">
        <v>1</v>
      </c>
      <c r="AJ19" t="n">
        <v>8</v>
      </c>
      <c r="AK19" t="n">
        <v>8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HYPERLINK("https://creighton-primo.hosted.exlibrisgroup.com/primo-explore/search?tab=default_tab&amp;search_scope=EVERYTHING&amp;vid=01CRU&amp;lang=en_US&amp;offset=0&amp;query=any,contains,991000093129702656","Catalog Record")</f>
        <v/>
      </c>
      <c r="AT19">
        <f>HYPERLINK("http://www.worldcat.org/oclc/8916419","WorldCat Record")</f>
        <v/>
      </c>
      <c r="AU19" t="inlineStr">
        <is>
          <t>54531993:eng</t>
        </is>
      </c>
      <c r="AV19" t="inlineStr">
        <is>
          <t>8916419</t>
        </is>
      </c>
      <c r="AW19" t="inlineStr">
        <is>
          <t>991000093129702656</t>
        </is>
      </c>
      <c r="AX19" t="inlineStr">
        <is>
          <t>991000093129702656</t>
        </is>
      </c>
      <c r="AY19" t="inlineStr">
        <is>
          <t>2268550850002656</t>
        </is>
      </c>
      <c r="AZ19" t="inlineStr">
        <is>
          <t>BOOK</t>
        </is>
      </c>
      <c r="BC19" t="inlineStr">
        <is>
          <t>32285000976273</t>
        </is>
      </c>
      <c r="BD19" t="inlineStr">
        <is>
          <t>893601443</t>
        </is>
      </c>
    </row>
    <row r="20">
      <c r="A20" t="inlineStr">
        <is>
          <t>No</t>
        </is>
      </c>
      <c r="B20" t="inlineStr">
        <is>
          <t>BF1031 .G54 1978b</t>
        </is>
      </c>
      <c r="C20" t="inlineStr">
        <is>
          <t>0                      BF 1031000G  54          1978b</t>
        </is>
      </c>
      <c r="D20" t="inlineStr">
        <is>
          <t>The paranormal / Stan Gooch.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Gooch, Stan.</t>
        </is>
      </c>
      <c r="L20" t="inlineStr">
        <is>
          <t>New York : Harper &amp; Row, c1978.</t>
        </is>
      </c>
      <c r="M20" t="inlineStr">
        <is>
          <t>1978</t>
        </is>
      </c>
      <c r="N20" t="inlineStr">
        <is>
          <t>1st U.S. ed.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BF </t>
        </is>
      </c>
      <c r="S20" t="n">
        <v>4</v>
      </c>
      <c r="T20" t="n">
        <v>4</v>
      </c>
      <c r="U20" t="inlineStr">
        <is>
          <t>1998-04-30</t>
        </is>
      </c>
      <c r="V20" t="inlineStr">
        <is>
          <t>1998-04-30</t>
        </is>
      </c>
      <c r="W20" t="inlineStr">
        <is>
          <t>1991-11-25</t>
        </is>
      </c>
      <c r="X20" t="inlineStr">
        <is>
          <t>1991-11-25</t>
        </is>
      </c>
      <c r="Y20" t="n">
        <v>209</v>
      </c>
      <c r="Z20" t="n">
        <v>197</v>
      </c>
      <c r="AA20" t="n">
        <v>225</v>
      </c>
      <c r="AB20" t="n">
        <v>4</v>
      </c>
      <c r="AC20" t="n">
        <v>4</v>
      </c>
      <c r="AD20" t="n">
        <v>3</v>
      </c>
      <c r="AE20" t="n">
        <v>4</v>
      </c>
      <c r="AF20" t="n">
        <v>1</v>
      </c>
      <c r="AG20" t="n">
        <v>1</v>
      </c>
      <c r="AH20" t="n">
        <v>1</v>
      </c>
      <c r="AI20" t="n">
        <v>1</v>
      </c>
      <c r="AJ20" t="n">
        <v>2</v>
      </c>
      <c r="AK20" t="n">
        <v>3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HYPERLINK("https://creighton-primo.hosted.exlibrisgroup.com/primo-explore/search?tab=default_tab&amp;search_scope=EVERYTHING&amp;vid=01CRU&amp;lang=en_US&amp;offset=0&amp;query=any,contains,991004679819702656","Catalog Record")</f>
        <v/>
      </c>
      <c r="AT20">
        <f>HYPERLINK("http://www.worldcat.org/oclc/4555662","WorldCat Record")</f>
        <v/>
      </c>
      <c r="AU20" t="inlineStr">
        <is>
          <t>12459986:eng</t>
        </is>
      </c>
      <c r="AV20" t="inlineStr">
        <is>
          <t>4555662</t>
        </is>
      </c>
      <c r="AW20" t="inlineStr">
        <is>
          <t>991004679819702656</t>
        </is>
      </c>
      <c r="AX20" t="inlineStr">
        <is>
          <t>991004679819702656</t>
        </is>
      </c>
      <c r="AY20" t="inlineStr">
        <is>
          <t>2256410430002656</t>
        </is>
      </c>
      <c r="AZ20" t="inlineStr">
        <is>
          <t>BOOK</t>
        </is>
      </c>
      <c r="BB20" t="inlineStr">
        <is>
          <t>9780060115494</t>
        </is>
      </c>
      <c r="BC20" t="inlineStr">
        <is>
          <t>32285000845262</t>
        </is>
      </c>
      <c r="BD20" t="inlineStr">
        <is>
          <t>893229696</t>
        </is>
      </c>
    </row>
    <row r="21">
      <c r="A21" t="inlineStr">
        <is>
          <t>No</t>
        </is>
      </c>
      <c r="B21" t="inlineStr">
        <is>
          <t>BF1031 .H254</t>
        </is>
      </c>
      <c r="C21" t="inlineStr">
        <is>
          <t>0                      BF 1031000H  254</t>
        </is>
      </c>
      <c r="D21" t="inlineStr">
        <is>
          <t>Handbook of parapsychology / Benjamin B. Wolman, editor ; Laura A. Dale, Gertrude R. Schmeidler, Montague Ullman, associate editors.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L21" t="inlineStr">
        <is>
          <t>New York : Van Nostrand Reinhold, [1977]</t>
        </is>
      </c>
      <c r="M21" t="inlineStr">
        <is>
          <t>1977</t>
        </is>
      </c>
      <c r="O21" t="inlineStr">
        <is>
          <t>eng</t>
        </is>
      </c>
      <c r="P21" t="inlineStr">
        <is>
          <t>nyu</t>
        </is>
      </c>
      <c r="R21" t="inlineStr">
        <is>
          <t xml:space="preserve">BF </t>
        </is>
      </c>
      <c r="S21" t="n">
        <v>12</v>
      </c>
      <c r="T21" t="n">
        <v>12</v>
      </c>
      <c r="U21" t="inlineStr">
        <is>
          <t>1998-03-25</t>
        </is>
      </c>
      <c r="V21" t="inlineStr">
        <is>
          <t>1998-03-25</t>
        </is>
      </c>
      <c r="W21" t="inlineStr">
        <is>
          <t>1990-02-16</t>
        </is>
      </c>
      <c r="X21" t="inlineStr">
        <is>
          <t>1990-02-16</t>
        </is>
      </c>
      <c r="Y21" t="n">
        <v>996</v>
      </c>
      <c r="Z21" t="n">
        <v>863</v>
      </c>
      <c r="AA21" t="n">
        <v>1011</v>
      </c>
      <c r="AB21" t="n">
        <v>10</v>
      </c>
      <c r="AC21" t="n">
        <v>10</v>
      </c>
      <c r="AD21" t="n">
        <v>36</v>
      </c>
      <c r="AE21" t="n">
        <v>40</v>
      </c>
      <c r="AF21" t="n">
        <v>17</v>
      </c>
      <c r="AG21" t="n">
        <v>19</v>
      </c>
      <c r="AH21" t="n">
        <v>7</v>
      </c>
      <c r="AI21" t="n">
        <v>8</v>
      </c>
      <c r="AJ21" t="n">
        <v>15</v>
      </c>
      <c r="AK21" t="n">
        <v>17</v>
      </c>
      <c r="AL21" t="n">
        <v>6</v>
      </c>
      <c r="AM21" t="n">
        <v>6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HYPERLINK("http://catalog.hathitrust.org/Record/000251343","HathiTrust Record")</f>
        <v/>
      </c>
      <c r="AS21">
        <f>HYPERLINK("https://creighton-primo.hosted.exlibrisgroup.com/primo-explore/search?tab=default_tab&amp;search_scope=EVERYTHING&amp;vid=01CRU&amp;lang=en_US&amp;offset=0&amp;query=any,contains,991004314499702656","Catalog Record")</f>
        <v/>
      </c>
      <c r="AT21">
        <f>HYPERLINK("http://www.worldcat.org/oclc/3003119","WorldCat Record")</f>
        <v/>
      </c>
      <c r="AU21" t="inlineStr">
        <is>
          <t>54169599:eng</t>
        </is>
      </c>
      <c r="AV21" t="inlineStr">
        <is>
          <t>3003119</t>
        </is>
      </c>
      <c r="AW21" t="inlineStr">
        <is>
          <t>991004314499702656</t>
        </is>
      </c>
      <c r="AX21" t="inlineStr">
        <is>
          <t>991004314499702656</t>
        </is>
      </c>
      <c r="AY21" t="inlineStr">
        <is>
          <t>2270978520002656</t>
        </is>
      </c>
      <c r="AZ21" t="inlineStr">
        <is>
          <t>BOOK</t>
        </is>
      </c>
      <c r="BB21" t="inlineStr">
        <is>
          <t>9780442295769</t>
        </is>
      </c>
      <c r="BC21" t="inlineStr">
        <is>
          <t>32285000052240</t>
        </is>
      </c>
      <c r="BD21" t="inlineStr">
        <is>
          <t>893593536</t>
        </is>
      </c>
    </row>
    <row r="22">
      <c r="A22" t="inlineStr">
        <is>
          <t>No</t>
        </is>
      </c>
      <c r="B22" t="inlineStr">
        <is>
          <t>BF1031 .H256 1989</t>
        </is>
      </c>
      <c r="C22" t="inlineStr">
        <is>
          <t>0                      BF 1031000H  256         1989</t>
        </is>
      </c>
      <c r="D22" t="inlineStr">
        <is>
          <t>The search for psychic power : ESP &amp; parapsychology revisited / C.E.M. Hansel.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Hansel, C. E. M. (Charles Edward Mark), 1917-2011.</t>
        </is>
      </c>
      <c r="L22" t="inlineStr">
        <is>
          <t>Buffalo, N.Y. : Prometheus Books, 1989.</t>
        </is>
      </c>
      <c r="M22" t="inlineStr">
        <is>
          <t>1989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BF </t>
        </is>
      </c>
      <c r="S22" t="n">
        <v>21</v>
      </c>
      <c r="T22" t="n">
        <v>21</v>
      </c>
      <c r="U22" t="inlineStr">
        <is>
          <t>2006-12-03</t>
        </is>
      </c>
      <c r="V22" t="inlineStr">
        <is>
          <t>2006-12-03</t>
        </is>
      </c>
      <c r="W22" t="inlineStr">
        <is>
          <t>1992-02-13</t>
        </is>
      </c>
      <c r="X22" t="inlineStr">
        <is>
          <t>1992-02-13</t>
        </is>
      </c>
      <c r="Y22" t="n">
        <v>332</v>
      </c>
      <c r="Z22" t="n">
        <v>285</v>
      </c>
      <c r="AA22" t="n">
        <v>288</v>
      </c>
      <c r="AB22" t="n">
        <v>3</v>
      </c>
      <c r="AC22" t="n">
        <v>3</v>
      </c>
      <c r="AD22" t="n">
        <v>7</v>
      </c>
      <c r="AE22" t="n">
        <v>7</v>
      </c>
      <c r="AF22" t="n">
        <v>1</v>
      </c>
      <c r="AG22" t="n">
        <v>1</v>
      </c>
      <c r="AH22" t="n">
        <v>1</v>
      </c>
      <c r="AI22" t="n">
        <v>1</v>
      </c>
      <c r="AJ22" t="n">
        <v>4</v>
      </c>
      <c r="AK22" t="n">
        <v>4</v>
      </c>
      <c r="AL22" t="n">
        <v>2</v>
      </c>
      <c r="AM22" t="n">
        <v>2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HYPERLINK("http://catalog.hathitrust.org/Record/001825348","HathiTrust Record")</f>
        <v/>
      </c>
      <c r="AS22">
        <f>HYPERLINK("https://creighton-primo.hosted.exlibrisgroup.com/primo-explore/search?tab=default_tab&amp;search_scope=EVERYTHING&amp;vid=01CRU&amp;lang=en_US&amp;offset=0&amp;query=any,contains,991001445279702656","Catalog Record")</f>
        <v/>
      </c>
      <c r="AT22">
        <f>HYPERLINK("http://www.worldcat.org/oclc/19269609","WorldCat Record")</f>
        <v/>
      </c>
      <c r="AU22" t="inlineStr">
        <is>
          <t>365383405:eng</t>
        </is>
      </c>
      <c r="AV22" t="inlineStr">
        <is>
          <t>19269609</t>
        </is>
      </c>
      <c r="AW22" t="inlineStr">
        <is>
          <t>991001445279702656</t>
        </is>
      </c>
      <c r="AX22" t="inlineStr">
        <is>
          <t>991001445279702656</t>
        </is>
      </c>
      <c r="AY22" t="inlineStr">
        <is>
          <t>2265343960002656</t>
        </is>
      </c>
      <c r="AZ22" t="inlineStr">
        <is>
          <t>BOOK</t>
        </is>
      </c>
      <c r="BB22" t="inlineStr">
        <is>
          <t>9780879755331</t>
        </is>
      </c>
      <c r="BC22" t="inlineStr">
        <is>
          <t>32285000869833</t>
        </is>
      </c>
      <c r="BD22" t="inlineStr">
        <is>
          <t>893516200</t>
        </is>
      </c>
    </row>
    <row r="23">
      <c r="A23" t="inlineStr">
        <is>
          <t>No</t>
        </is>
      </c>
      <c r="B23" t="inlineStr">
        <is>
          <t>BF1031 .J23</t>
        </is>
      </c>
      <c r="C23" t="inlineStr">
        <is>
          <t>0                      BF 1031000J  23</t>
        </is>
      </c>
      <c r="D23" t="inlineStr">
        <is>
          <t>William James on psychical research / compiled and edited by Gardner Murphy and Robert O. Ballou. With an introd. and concluding remarks by Gardner Murphy.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James, William, 1842-1910.</t>
        </is>
      </c>
      <c r="L23" t="inlineStr">
        <is>
          <t>New York : Viking Press, 1960.</t>
        </is>
      </c>
      <c r="M23" t="inlineStr">
        <is>
          <t>1960</t>
        </is>
      </c>
      <c r="O23" t="inlineStr">
        <is>
          <t>eng</t>
        </is>
      </c>
      <c r="P23" t="inlineStr">
        <is>
          <t>nyu</t>
        </is>
      </c>
      <c r="R23" t="inlineStr">
        <is>
          <t xml:space="preserve">BF </t>
        </is>
      </c>
      <c r="S23" t="n">
        <v>13</v>
      </c>
      <c r="T23" t="n">
        <v>13</v>
      </c>
      <c r="U23" t="inlineStr">
        <is>
          <t>2003-05-05</t>
        </is>
      </c>
      <c r="V23" t="inlineStr">
        <is>
          <t>2003-05-05</t>
        </is>
      </c>
      <c r="W23" t="inlineStr">
        <is>
          <t>1990-10-01</t>
        </is>
      </c>
      <c r="X23" t="inlineStr">
        <is>
          <t>1990-10-01</t>
        </is>
      </c>
      <c r="Y23" t="n">
        <v>522</v>
      </c>
      <c r="Z23" t="n">
        <v>479</v>
      </c>
      <c r="AA23" t="n">
        <v>709</v>
      </c>
      <c r="AB23" t="n">
        <v>4</v>
      </c>
      <c r="AC23" t="n">
        <v>6</v>
      </c>
      <c r="AD23" t="n">
        <v>19</v>
      </c>
      <c r="AE23" t="n">
        <v>26</v>
      </c>
      <c r="AF23" t="n">
        <v>7</v>
      </c>
      <c r="AG23" t="n">
        <v>9</v>
      </c>
      <c r="AH23" t="n">
        <v>3</v>
      </c>
      <c r="AI23" t="n">
        <v>5</v>
      </c>
      <c r="AJ23" t="n">
        <v>11</v>
      </c>
      <c r="AK23" t="n">
        <v>14</v>
      </c>
      <c r="AL23" t="n">
        <v>3</v>
      </c>
      <c r="AM23" t="n">
        <v>4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R23">
        <f>HYPERLINK("http://catalog.hathitrust.org/Record/000473499","HathiTrust Record")</f>
        <v/>
      </c>
      <c r="AS23">
        <f>HYPERLINK("https://creighton-primo.hosted.exlibrisgroup.com/primo-explore/search?tab=default_tab&amp;search_scope=EVERYTHING&amp;vid=01CRU&amp;lang=en_US&amp;offset=0&amp;query=any,contains,991001373069702656","Catalog Record")</f>
        <v/>
      </c>
      <c r="AT23">
        <f>HYPERLINK("http://www.worldcat.org/oclc/224205","WorldCat Record")</f>
        <v/>
      </c>
      <c r="AU23" t="inlineStr">
        <is>
          <t>577025:eng</t>
        </is>
      </c>
      <c r="AV23" t="inlineStr">
        <is>
          <t>224205</t>
        </is>
      </c>
      <c r="AW23" t="inlineStr">
        <is>
          <t>991001373069702656</t>
        </is>
      </c>
      <c r="AX23" t="inlineStr">
        <is>
          <t>991001373069702656</t>
        </is>
      </c>
      <c r="AY23" t="inlineStr">
        <is>
          <t>2264165290002656</t>
        </is>
      </c>
      <c r="AZ23" t="inlineStr">
        <is>
          <t>BOOK</t>
        </is>
      </c>
      <c r="BC23" t="inlineStr">
        <is>
          <t>32285000323062</t>
        </is>
      </c>
      <c r="BD23" t="inlineStr">
        <is>
          <t>893334291</t>
        </is>
      </c>
    </row>
    <row r="24">
      <c r="A24" t="inlineStr">
        <is>
          <t>No</t>
        </is>
      </c>
      <c r="B24" t="inlineStr">
        <is>
          <t>BF1031 .L43 1974</t>
        </is>
      </c>
      <c r="C24" t="inlineStr">
        <is>
          <t>0                      BF 1031000L  43          1974</t>
        </is>
      </c>
      <c r="D24" t="inlineStr">
        <is>
          <t>The medium, the mystic, and the physicist : toward a general theory of the paranormal / by Lawrence LeShan.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LeShan, Lawrence L., 1920-</t>
        </is>
      </c>
      <c r="L24" t="inlineStr">
        <is>
          <t>New York : Viking Press, [1974]</t>
        </is>
      </c>
      <c r="M24" t="inlineStr">
        <is>
          <t>1974</t>
        </is>
      </c>
      <c r="O24" t="inlineStr">
        <is>
          <t>eng</t>
        </is>
      </c>
      <c r="P24" t="inlineStr">
        <is>
          <t>nyu</t>
        </is>
      </c>
      <c r="Q24" t="inlineStr">
        <is>
          <t>An Esalen book</t>
        </is>
      </c>
      <c r="R24" t="inlineStr">
        <is>
          <t xml:space="preserve">BF </t>
        </is>
      </c>
      <c r="S24" t="n">
        <v>2</v>
      </c>
      <c r="T24" t="n">
        <v>2</v>
      </c>
      <c r="U24" t="inlineStr">
        <is>
          <t>2004-10-11</t>
        </is>
      </c>
      <c r="V24" t="inlineStr">
        <is>
          <t>2004-10-11</t>
        </is>
      </c>
      <c r="W24" t="inlineStr">
        <is>
          <t>1990-03-16</t>
        </is>
      </c>
      <c r="X24" t="inlineStr">
        <is>
          <t>1990-03-16</t>
        </is>
      </c>
      <c r="Y24" t="n">
        <v>681</v>
      </c>
      <c r="Z24" t="n">
        <v>624</v>
      </c>
      <c r="AA24" t="n">
        <v>755</v>
      </c>
      <c r="AB24" t="n">
        <v>4</v>
      </c>
      <c r="AC24" t="n">
        <v>4</v>
      </c>
      <c r="AD24" t="n">
        <v>30</v>
      </c>
      <c r="AE24" t="n">
        <v>30</v>
      </c>
      <c r="AF24" t="n">
        <v>13</v>
      </c>
      <c r="AG24" t="n">
        <v>13</v>
      </c>
      <c r="AH24" t="n">
        <v>6</v>
      </c>
      <c r="AI24" t="n">
        <v>6</v>
      </c>
      <c r="AJ24" t="n">
        <v>14</v>
      </c>
      <c r="AK24" t="n">
        <v>14</v>
      </c>
      <c r="AL24" t="n">
        <v>3</v>
      </c>
      <c r="AM24" t="n">
        <v>3</v>
      </c>
      <c r="AN24" t="n">
        <v>0</v>
      </c>
      <c r="AO24" t="n">
        <v>0</v>
      </c>
      <c r="AP24" t="inlineStr">
        <is>
          <t>No</t>
        </is>
      </c>
      <c r="AQ24" t="inlineStr">
        <is>
          <t>Yes</t>
        </is>
      </c>
      <c r="AR24">
        <f>HYPERLINK("http://catalog.hathitrust.org/Record/000473518","HathiTrust Record")</f>
        <v/>
      </c>
      <c r="AS24">
        <f>HYPERLINK("https://creighton-primo.hosted.exlibrisgroup.com/primo-explore/search?tab=default_tab&amp;search_scope=EVERYTHING&amp;vid=01CRU&amp;lang=en_US&amp;offset=0&amp;query=any,contains,991003327959702656","Catalog Record")</f>
        <v/>
      </c>
      <c r="AT24">
        <f>HYPERLINK("http://www.worldcat.org/oclc/858234","WorldCat Record")</f>
        <v/>
      </c>
      <c r="AU24" t="inlineStr">
        <is>
          <t>790466:eng</t>
        </is>
      </c>
      <c r="AV24" t="inlineStr">
        <is>
          <t>858234</t>
        </is>
      </c>
      <c r="AW24" t="inlineStr">
        <is>
          <t>991003327959702656</t>
        </is>
      </c>
      <c r="AX24" t="inlineStr">
        <is>
          <t>991003327959702656</t>
        </is>
      </c>
      <c r="AY24" t="inlineStr">
        <is>
          <t>2267053990002656</t>
        </is>
      </c>
      <c r="AZ24" t="inlineStr">
        <is>
          <t>BOOK</t>
        </is>
      </c>
      <c r="BB24" t="inlineStr">
        <is>
          <t>9780670465668</t>
        </is>
      </c>
      <c r="BC24" t="inlineStr">
        <is>
          <t>32285000090430</t>
        </is>
      </c>
      <c r="BD24" t="inlineStr">
        <is>
          <t>893698912</t>
        </is>
      </c>
    </row>
    <row r="25">
      <c r="A25" t="inlineStr">
        <is>
          <t>No</t>
        </is>
      </c>
      <c r="B25" t="inlineStr">
        <is>
          <t>BF1031 .M537 1987</t>
        </is>
      </c>
      <c r="C25" t="inlineStr">
        <is>
          <t>0                      BF 1031000M  537         1987</t>
        </is>
      </c>
      <c r="D25" t="inlineStr">
        <is>
          <t>Men and women of parapsychology : personal reflections / edited by Rosemarie Pilkington ; foreword by Stanley Krippner.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L25" t="inlineStr">
        <is>
          <t>Jefferson, N.C. : McFarland, c1987.</t>
        </is>
      </c>
      <c r="M25" t="inlineStr">
        <is>
          <t>1987</t>
        </is>
      </c>
      <c r="O25" t="inlineStr">
        <is>
          <t>eng</t>
        </is>
      </c>
      <c r="P25" t="inlineStr">
        <is>
          <t>ncu</t>
        </is>
      </c>
      <c r="R25" t="inlineStr">
        <is>
          <t xml:space="preserve">BF </t>
        </is>
      </c>
      <c r="S25" t="n">
        <v>9</v>
      </c>
      <c r="T25" t="n">
        <v>9</v>
      </c>
      <c r="U25" t="inlineStr">
        <is>
          <t>2000-10-09</t>
        </is>
      </c>
      <c r="V25" t="inlineStr">
        <is>
          <t>2000-10-09</t>
        </is>
      </c>
      <c r="W25" t="inlineStr">
        <is>
          <t>1990-04-17</t>
        </is>
      </c>
      <c r="X25" t="inlineStr">
        <is>
          <t>1990-04-17</t>
        </is>
      </c>
      <c r="Y25" t="n">
        <v>227</v>
      </c>
      <c r="Z25" t="n">
        <v>199</v>
      </c>
      <c r="AA25" t="n">
        <v>203</v>
      </c>
      <c r="AB25" t="n">
        <v>4</v>
      </c>
      <c r="AC25" t="n">
        <v>4</v>
      </c>
      <c r="AD25" t="n">
        <v>6</v>
      </c>
      <c r="AE25" t="n">
        <v>6</v>
      </c>
      <c r="AF25" t="n">
        <v>2</v>
      </c>
      <c r="AG25" t="n">
        <v>2</v>
      </c>
      <c r="AH25" t="n">
        <v>0</v>
      </c>
      <c r="AI25" t="n">
        <v>0</v>
      </c>
      <c r="AJ25" t="n">
        <v>1</v>
      </c>
      <c r="AK25" t="n">
        <v>1</v>
      </c>
      <c r="AL25" t="n">
        <v>3</v>
      </c>
      <c r="AM25" t="n">
        <v>3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HYPERLINK("http://catalog.hathitrust.org/Record/000875052","HathiTrust Record")</f>
        <v/>
      </c>
      <c r="AS25">
        <f>HYPERLINK("https://creighton-primo.hosted.exlibrisgroup.com/primo-explore/search?tab=default_tab&amp;search_scope=EVERYTHING&amp;vid=01CRU&amp;lang=en_US&amp;offset=0&amp;query=any,contains,991001106679702656","Catalog Record")</f>
        <v/>
      </c>
      <c r="AT25">
        <f>HYPERLINK("http://www.worldcat.org/oclc/16405768","WorldCat Record")</f>
        <v/>
      </c>
      <c r="AU25" t="inlineStr">
        <is>
          <t>836662602:eng</t>
        </is>
      </c>
      <c r="AV25" t="inlineStr">
        <is>
          <t>16405768</t>
        </is>
      </c>
      <c r="AW25" t="inlineStr">
        <is>
          <t>991001106679702656</t>
        </is>
      </c>
      <c r="AX25" t="inlineStr">
        <is>
          <t>991001106679702656</t>
        </is>
      </c>
      <c r="AY25" t="inlineStr">
        <is>
          <t>2263534500002656</t>
        </is>
      </c>
      <c r="AZ25" t="inlineStr">
        <is>
          <t>BOOK</t>
        </is>
      </c>
      <c r="BB25" t="inlineStr">
        <is>
          <t>9780899502601</t>
        </is>
      </c>
      <c r="BC25" t="inlineStr">
        <is>
          <t>32285000122795</t>
        </is>
      </c>
      <c r="BD25" t="inlineStr">
        <is>
          <t>893413960</t>
        </is>
      </c>
    </row>
    <row r="26">
      <c r="A26" t="inlineStr">
        <is>
          <t>No</t>
        </is>
      </c>
      <c r="B26" t="inlineStr">
        <is>
          <t>BF1031 .M72 1974</t>
        </is>
      </c>
      <c r="C26" t="inlineStr">
        <is>
          <t>0                      BF 1031000M  72          1974</t>
        </is>
      </c>
      <c r="D26" t="inlineStr">
        <is>
          <t>The probability of the impossible : scientific discoveries and explorations in the psychic world / by Thelma Moss.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Moss, Thelma.</t>
        </is>
      </c>
      <c r="L26" t="inlineStr">
        <is>
          <t>Los Angeles : J. P. Tarcher ; New York : distributed by Hawthorn Books, [1974]</t>
        </is>
      </c>
      <c r="M26" t="inlineStr">
        <is>
          <t>1974</t>
        </is>
      </c>
      <c r="O26" t="inlineStr">
        <is>
          <t>eng</t>
        </is>
      </c>
      <c r="P26" t="inlineStr">
        <is>
          <t>cau</t>
        </is>
      </c>
      <c r="R26" t="inlineStr">
        <is>
          <t xml:space="preserve">BF </t>
        </is>
      </c>
      <c r="S26" t="n">
        <v>4</v>
      </c>
      <c r="T26" t="n">
        <v>4</v>
      </c>
      <c r="U26" t="inlineStr">
        <is>
          <t>1996-09-23</t>
        </is>
      </c>
      <c r="V26" t="inlineStr">
        <is>
          <t>1996-09-23</t>
        </is>
      </c>
      <c r="W26" t="inlineStr">
        <is>
          <t>1990-10-01</t>
        </is>
      </c>
      <c r="X26" t="inlineStr">
        <is>
          <t>1990-10-01</t>
        </is>
      </c>
      <c r="Y26" t="n">
        <v>384</v>
      </c>
      <c r="Z26" t="n">
        <v>357</v>
      </c>
      <c r="AA26" t="n">
        <v>404</v>
      </c>
      <c r="AB26" t="n">
        <v>2</v>
      </c>
      <c r="AC26" t="n">
        <v>2</v>
      </c>
      <c r="AD26" t="n">
        <v>7</v>
      </c>
      <c r="AE26" t="n">
        <v>9</v>
      </c>
      <c r="AF26" t="n">
        <v>4</v>
      </c>
      <c r="AG26" t="n">
        <v>6</v>
      </c>
      <c r="AH26" t="n">
        <v>1</v>
      </c>
      <c r="AI26" t="n">
        <v>1</v>
      </c>
      <c r="AJ26" t="n">
        <v>1</v>
      </c>
      <c r="AK26" t="n">
        <v>1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HYPERLINK("https://creighton-primo.hosted.exlibrisgroup.com/primo-explore/search?tab=default_tab&amp;search_scope=EVERYTHING&amp;vid=01CRU&amp;lang=en_US&amp;offset=0&amp;query=any,contains,991003549939702656","Catalog Record")</f>
        <v/>
      </c>
      <c r="AT26">
        <f>HYPERLINK("http://www.worldcat.org/oclc/1118434","WorldCat Record")</f>
        <v/>
      </c>
      <c r="AU26" t="inlineStr">
        <is>
          <t>2014979:eng</t>
        </is>
      </c>
      <c r="AV26" t="inlineStr">
        <is>
          <t>1118434</t>
        </is>
      </c>
      <c r="AW26" t="inlineStr">
        <is>
          <t>991003549939702656</t>
        </is>
      </c>
      <c r="AX26" t="inlineStr">
        <is>
          <t>991003549939702656</t>
        </is>
      </c>
      <c r="AY26" t="inlineStr">
        <is>
          <t>2257216960002656</t>
        </is>
      </c>
      <c r="AZ26" t="inlineStr">
        <is>
          <t>BOOK</t>
        </is>
      </c>
      <c r="BB26" t="inlineStr">
        <is>
          <t>9780874770254</t>
        </is>
      </c>
      <c r="BC26" t="inlineStr">
        <is>
          <t>32285000323070</t>
        </is>
      </c>
      <c r="BD26" t="inlineStr">
        <is>
          <t>893262800</t>
        </is>
      </c>
    </row>
    <row r="27">
      <c r="A27" t="inlineStr">
        <is>
          <t>No</t>
        </is>
      </c>
      <c r="B27" t="inlineStr">
        <is>
          <t>BF1031 .M78</t>
        </is>
      </c>
      <c r="C27" t="inlineStr">
        <is>
          <t>0                      BF 1031000M  78</t>
        </is>
      </c>
      <c r="D27" t="inlineStr">
        <is>
          <t>Challenge of psychical research; a primer of parapsychology, by Gardner Murphy, with the collaboration of Laura A. Dale.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Murphy, Gardner, 1895-1979.</t>
        </is>
      </c>
      <c r="L27" t="inlineStr">
        <is>
          <t>New York, Harper [1961]</t>
        </is>
      </c>
      <c r="M27" t="inlineStr">
        <is>
          <t>1961</t>
        </is>
      </c>
      <c r="N27" t="inlineStr">
        <is>
          <t>[1st ed.]</t>
        </is>
      </c>
      <c r="O27" t="inlineStr">
        <is>
          <t>eng</t>
        </is>
      </c>
      <c r="P27" t="inlineStr">
        <is>
          <t>nyu</t>
        </is>
      </c>
      <c r="Q27" t="inlineStr">
        <is>
          <t>World perspectives ; v. 26</t>
        </is>
      </c>
      <c r="R27" t="inlineStr">
        <is>
          <t xml:space="preserve">BF </t>
        </is>
      </c>
      <c r="S27" t="n">
        <v>1</v>
      </c>
      <c r="T27" t="n">
        <v>1</v>
      </c>
      <c r="U27" t="inlineStr">
        <is>
          <t>1997-03-15</t>
        </is>
      </c>
      <c r="V27" t="inlineStr">
        <is>
          <t>1997-03-15</t>
        </is>
      </c>
      <c r="W27" t="inlineStr">
        <is>
          <t>1996-08-07</t>
        </is>
      </c>
      <c r="X27" t="inlineStr">
        <is>
          <t>1996-08-07</t>
        </is>
      </c>
      <c r="Y27" t="n">
        <v>738</v>
      </c>
      <c r="Z27" t="n">
        <v>677</v>
      </c>
      <c r="AA27" t="n">
        <v>778</v>
      </c>
      <c r="AB27" t="n">
        <v>4</v>
      </c>
      <c r="AC27" t="n">
        <v>5</v>
      </c>
      <c r="AD27" t="n">
        <v>28</v>
      </c>
      <c r="AE27" t="n">
        <v>31</v>
      </c>
      <c r="AF27" t="n">
        <v>13</v>
      </c>
      <c r="AG27" t="n">
        <v>15</v>
      </c>
      <c r="AH27" t="n">
        <v>3</v>
      </c>
      <c r="AI27" t="n">
        <v>4</v>
      </c>
      <c r="AJ27" t="n">
        <v>14</v>
      </c>
      <c r="AK27" t="n">
        <v>16</v>
      </c>
      <c r="AL27" t="n">
        <v>3</v>
      </c>
      <c r="AM27" t="n">
        <v>3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HYPERLINK("http://catalog.hathitrust.org/Record/000473654","HathiTrust Record")</f>
        <v/>
      </c>
      <c r="AS27">
        <f>HYPERLINK("https://creighton-primo.hosted.exlibrisgroup.com/primo-explore/search?tab=default_tab&amp;search_scope=EVERYTHING&amp;vid=01CRU&amp;lang=en_US&amp;offset=0&amp;query=any,contains,991001369189702656","Catalog Record")</f>
        <v/>
      </c>
      <c r="AT27">
        <f>HYPERLINK("http://www.worldcat.org/oclc/223024","WorldCat Record")</f>
        <v/>
      </c>
      <c r="AU27" t="inlineStr">
        <is>
          <t>1089566377:eng</t>
        </is>
      </c>
      <c r="AV27" t="inlineStr">
        <is>
          <t>223024</t>
        </is>
      </c>
      <c r="AW27" t="inlineStr">
        <is>
          <t>991001369189702656</t>
        </is>
      </c>
      <c r="AX27" t="inlineStr">
        <is>
          <t>991001369189702656</t>
        </is>
      </c>
      <c r="AY27" t="inlineStr">
        <is>
          <t>2262279360002656</t>
        </is>
      </c>
      <c r="AZ27" t="inlineStr">
        <is>
          <t>BOOK</t>
        </is>
      </c>
      <c r="BC27" t="inlineStr">
        <is>
          <t>32285002257821</t>
        </is>
      </c>
      <c r="BD27" t="inlineStr">
        <is>
          <t>893615012</t>
        </is>
      </c>
    </row>
    <row r="28">
      <c r="A28" t="inlineStr">
        <is>
          <t>No</t>
        </is>
      </c>
      <c r="B28" t="inlineStr">
        <is>
          <t>BF1031 .N43</t>
        </is>
      </c>
      <c r="C28" t="inlineStr">
        <is>
          <t>0                      BF 1031000N  43</t>
        </is>
      </c>
      <c r="D28" t="inlineStr">
        <is>
          <t>The psychology of transcendence / Andrew Neher.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Neher, Andrew.</t>
        </is>
      </c>
      <c r="L28" t="inlineStr">
        <is>
          <t>Englewood Cliffs, N.J. : Prentice-Hall, c1980.</t>
        </is>
      </c>
      <c r="M28" t="inlineStr">
        <is>
          <t>1980</t>
        </is>
      </c>
      <c r="O28" t="inlineStr">
        <is>
          <t>eng</t>
        </is>
      </c>
      <c r="P28" t="inlineStr">
        <is>
          <t>nyu</t>
        </is>
      </c>
      <c r="Q28" t="inlineStr">
        <is>
          <t>A Spectrum book ; S-644</t>
        </is>
      </c>
      <c r="R28" t="inlineStr">
        <is>
          <t xml:space="preserve">BF </t>
        </is>
      </c>
      <c r="S28" t="n">
        <v>4</v>
      </c>
      <c r="T28" t="n">
        <v>4</v>
      </c>
      <c r="U28" t="inlineStr">
        <is>
          <t>1995-07-10</t>
        </is>
      </c>
      <c r="V28" t="inlineStr">
        <is>
          <t>1995-07-10</t>
        </is>
      </c>
      <c r="W28" t="inlineStr">
        <is>
          <t>1990-02-12</t>
        </is>
      </c>
      <c r="X28" t="inlineStr">
        <is>
          <t>1990-02-12</t>
        </is>
      </c>
      <c r="Y28" t="n">
        <v>285</v>
      </c>
      <c r="Z28" t="n">
        <v>233</v>
      </c>
      <c r="AA28" t="n">
        <v>282</v>
      </c>
      <c r="AB28" t="n">
        <v>3</v>
      </c>
      <c r="AC28" t="n">
        <v>3</v>
      </c>
      <c r="AD28" t="n">
        <v>10</v>
      </c>
      <c r="AE28" t="n">
        <v>10</v>
      </c>
      <c r="AF28" t="n">
        <v>4</v>
      </c>
      <c r="AG28" t="n">
        <v>4</v>
      </c>
      <c r="AH28" t="n">
        <v>0</v>
      </c>
      <c r="AI28" t="n">
        <v>0</v>
      </c>
      <c r="AJ28" t="n">
        <v>5</v>
      </c>
      <c r="AK28" t="n">
        <v>5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HYPERLINK("https://creighton-primo.hosted.exlibrisgroup.com/primo-explore/search?tab=default_tab&amp;search_scope=EVERYTHING&amp;vid=01CRU&amp;lang=en_US&amp;offset=0&amp;query=any,contains,991005011799702656","Catalog Record")</f>
        <v/>
      </c>
      <c r="AT28">
        <f>HYPERLINK("http://www.worldcat.org/oclc/6603189","WorldCat Record")</f>
        <v/>
      </c>
      <c r="AU28" t="inlineStr">
        <is>
          <t>20452304:eng</t>
        </is>
      </c>
      <c r="AV28" t="inlineStr">
        <is>
          <t>6603189</t>
        </is>
      </c>
      <c r="AW28" t="inlineStr">
        <is>
          <t>991005011799702656</t>
        </is>
      </c>
      <c r="AX28" t="inlineStr">
        <is>
          <t>991005011799702656</t>
        </is>
      </c>
      <c r="AY28" t="inlineStr">
        <is>
          <t>2254812770002656</t>
        </is>
      </c>
      <c r="AZ28" t="inlineStr">
        <is>
          <t>BOOK</t>
        </is>
      </c>
      <c r="BB28" t="inlineStr">
        <is>
          <t>9780137366453</t>
        </is>
      </c>
      <c r="BC28" t="inlineStr">
        <is>
          <t>32285000009786</t>
        </is>
      </c>
      <c r="BD28" t="inlineStr">
        <is>
          <t>893713318</t>
        </is>
      </c>
    </row>
    <row r="29">
      <c r="A29" t="inlineStr">
        <is>
          <t>No</t>
        </is>
      </c>
      <c r="B29" t="inlineStr">
        <is>
          <t>BF1031 .P24 1974</t>
        </is>
      </c>
      <c r="C29" t="inlineStr">
        <is>
          <t>0                      BF 1031000P  24          1974</t>
        </is>
      </c>
      <c r="D29" t="inlineStr">
        <is>
          <t>Supersenses : our potential for parasensory experience.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Panati, Charles, 1943-</t>
        </is>
      </c>
      <c r="L29" t="inlineStr">
        <is>
          <t>[New York] : Quadrangle/New York Times Book Co., [1974]</t>
        </is>
      </c>
      <c r="M29" t="inlineStr">
        <is>
          <t>1974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BF </t>
        </is>
      </c>
      <c r="S29" t="n">
        <v>4</v>
      </c>
      <c r="T29" t="n">
        <v>4</v>
      </c>
      <c r="U29" t="inlineStr">
        <is>
          <t>2008-03-26</t>
        </is>
      </c>
      <c r="V29" t="inlineStr">
        <is>
          <t>2008-03-26</t>
        </is>
      </c>
      <c r="W29" t="inlineStr">
        <is>
          <t>1992-01-29</t>
        </is>
      </c>
      <c r="X29" t="inlineStr">
        <is>
          <t>1992-01-29</t>
        </is>
      </c>
      <c r="Y29" t="n">
        <v>464</v>
      </c>
      <c r="Z29" t="n">
        <v>426</v>
      </c>
      <c r="AA29" t="n">
        <v>485</v>
      </c>
      <c r="AB29" t="n">
        <v>4</v>
      </c>
      <c r="AC29" t="n">
        <v>4</v>
      </c>
      <c r="AD29" t="n">
        <v>13</v>
      </c>
      <c r="AE29" t="n">
        <v>13</v>
      </c>
      <c r="AF29" t="n">
        <v>6</v>
      </c>
      <c r="AG29" t="n">
        <v>6</v>
      </c>
      <c r="AH29" t="n">
        <v>0</v>
      </c>
      <c r="AI29" t="n">
        <v>0</v>
      </c>
      <c r="AJ29" t="n">
        <v>6</v>
      </c>
      <c r="AK29" t="n">
        <v>6</v>
      </c>
      <c r="AL29" t="n">
        <v>3</v>
      </c>
      <c r="AM29" t="n">
        <v>3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HYPERLINK("http://catalog.hathitrust.org/Record/009920501","HathiTrust Record")</f>
        <v/>
      </c>
      <c r="AS29">
        <f>HYPERLINK("https://creighton-primo.hosted.exlibrisgroup.com/primo-explore/search?tab=default_tab&amp;search_scope=EVERYTHING&amp;vid=01CRU&amp;lang=en_US&amp;offset=0&amp;query=any,contains,991003443669702656","Catalog Record")</f>
        <v/>
      </c>
      <c r="AT29">
        <f>HYPERLINK("http://www.worldcat.org/oclc/979430","WorldCat Record")</f>
        <v/>
      </c>
      <c r="AU29" t="inlineStr">
        <is>
          <t>1942601:eng</t>
        </is>
      </c>
      <c r="AV29" t="inlineStr">
        <is>
          <t>979430</t>
        </is>
      </c>
      <c r="AW29" t="inlineStr">
        <is>
          <t>991003443669702656</t>
        </is>
      </c>
      <c r="AX29" t="inlineStr">
        <is>
          <t>991003443669702656</t>
        </is>
      </c>
      <c r="AY29" t="inlineStr">
        <is>
          <t>2259873700002656</t>
        </is>
      </c>
      <c r="AZ29" t="inlineStr">
        <is>
          <t>BOOK</t>
        </is>
      </c>
      <c r="BB29" t="inlineStr">
        <is>
          <t>9780812904727</t>
        </is>
      </c>
      <c r="BC29" t="inlineStr">
        <is>
          <t>32285000930247</t>
        </is>
      </c>
      <c r="BD29" t="inlineStr">
        <is>
          <t>893240205</t>
        </is>
      </c>
    </row>
    <row r="30">
      <c r="A30" t="inlineStr">
        <is>
          <t>No</t>
        </is>
      </c>
      <c r="B30" t="inlineStr">
        <is>
          <t>BF1031 .P335 1983</t>
        </is>
      </c>
      <c r="C30" t="inlineStr">
        <is>
          <t>0                      BF 1031000P  335         1983</t>
        </is>
      </c>
      <c r="D30" t="inlineStr">
        <is>
          <t>Parapsychology and self-deception in science / edited and published by R.A. McConnell.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L30" t="inlineStr">
        <is>
          <t>[Pittsburgh, Pa.] : R.A. McConnell, c1983.</t>
        </is>
      </c>
      <c r="M30" t="inlineStr">
        <is>
          <t>1983</t>
        </is>
      </c>
      <c r="O30" t="inlineStr">
        <is>
          <t>eng</t>
        </is>
      </c>
      <c r="P30" t="inlineStr">
        <is>
          <t>pau</t>
        </is>
      </c>
      <c r="R30" t="inlineStr">
        <is>
          <t xml:space="preserve">BF </t>
        </is>
      </c>
      <c r="S30" t="n">
        <v>6</v>
      </c>
      <c r="T30" t="n">
        <v>6</v>
      </c>
      <c r="U30" t="inlineStr">
        <is>
          <t>2000-09-07</t>
        </is>
      </c>
      <c r="V30" t="inlineStr">
        <is>
          <t>2000-09-07</t>
        </is>
      </c>
      <c r="W30" t="inlineStr">
        <is>
          <t>1993-04-12</t>
        </is>
      </c>
      <c r="X30" t="inlineStr">
        <is>
          <t>1993-04-12</t>
        </is>
      </c>
      <c r="Y30" t="n">
        <v>304</v>
      </c>
      <c r="Z30" t="n">
        <v>278</v>
      </c>
      <c r="AA30" t="n">
        <v>312</v>
      </c>
      <c r="AB30" t="n">
        <v>1</v>
      </c>
      <c r="AC30" t="n">
        <v>2</v>
      </c>
      <c r="AD30" t="n">
        <v>13</v>
      </c>
      <c r="AE30" t="n">
        <v>14</v>
      </c>
      <c r="AF30" t="n">
        <v>4</v>
      </c>
      <c r="AG30" t="n">
        <v>4</v>
      </c>
      <c r="AH30" t="n">
        <v>2</v>
      </c>
      <c r="AI30" t="n">
        <v>2</v>
      </c>
      <c r="AJ30" t="n">
        <v>10</v>
      </c>
      <c r="AK30" t="n">
        <v>10</v>
      </c>
      <c r="AL30" t="n">
        <v>0</v>
      </c>
      <c r="AM30" t="n">
        <v>1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HYPERLINK("http://catalog.hathitrust.org/Record/000315288","HathiTrust Record")</f>
        <v/>
      </c>
      <c r="AS30">
        <f>HYPERLINK("https://creighton-primo.hosted.exlibrisgroup.com/primo-explore/search?tab=default_tab&amp;search_scope=EVERYTHING&amp;vid=01CRU&amp;lang=en_US&amp;offset=0&amp;query=any,contains,991000218459702656","Catalog Record")</f>
        <v/>
      </c>
      <c r="AT30">
        <f>HYPERLINK("http://www.worldcat.org/oclc/9575295","WorldCat Record")</f>
        <v/>
      </c>
      <c r="AU30" t="inlineStr">
        <is>
          <t>54574887:eng</t>
        </is>
      </c>
      <c r="AV30" t="inlineStr">
        <is>
          <t>9575295</t>
        </is>
      </c>
      <c r="AW30" t="inlineStr">
        <is>
          <t>991000218459702656</t>
        </is>
      </c>
      <c r="AX30" t="inlineStr">
        <is>
          <t>991000218459702656</t>
        </is>
      </c>
      <c r="AY30" t="inlineStr">
        <is>
          <t>2270422550002656</t>
        </is>
      </c>
      <c r="AZ30" t="inlineStr">
        <is>
          <t>BOOK</t>
        </is>
      </c>
      <c r="BB30" t="inlineStr">
        <is>
          <t>9780961023225</t>
        </is>
      </c>
      <c r="BC30" t="inlineStr">
        <is>
          <t>32285001616431</t>
        </is>
      </c>
      <c r="BD30" t="inlineStr">
        <is>
          <t>893237170</t>
        </is>
      </c>
    </row>
    <row r="31">
      <c r="A31" t="inlineStr">
        <is>
          <t>No</t>
        </is>
      </c>
      <c r="B31" t="inlineStr">
        <is>
          <t>BF1031 .P74</t>
        </is>
      </c>
      <c r="C31" t="inlineStr">
        <is>
          <t>0                      BF 1031000P  74</t>
        </is>
      </c>
      <c r="D31" t="inlineStr">
        <is>
          <t>Studies in psychical research, by Frank Podmore.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Podmore, Frank, 1856-1910.</t>
        </is>
      </c>
      <c r="L31" t="inlineStr">
        <is>
          <t>New York, Putnam, 1897.</t>
        </is>
      </c>
      <c r="M31" t="inlineStr">
        <is>
          <t>1897</t>
        </is>
      </c>
      <c r="O31" t="inlineStr">
        <is>
          <t>eng</t>
        </is>
      </c>
      <c r="P31" t="inlineStr">
        <is>
          <t xml:space="preserve">xx </t>
        </is>
      </c>
      <c r="R31" t="inlineStr">
        <is>
          <t xml:space="preserve">BF </t>
        </is>
      </c>
      <c r="S31" t="n">
        <v>1</v>
      </c>
      <c r="T31" t="n">
        <v>1</v>
      </c>
      <c r="U31" t="inlineStr">
        <is>
          <t>2000-09-06</t>
        </is>
      </c>
      <c r="V31" t="inlineStr">
        <is>
          <t>2000-09-06</t>
        </is>
      </c>
      <c r="W31" t="inlineStr">
        <is>
          <t>1996-08-07</t>
        </is>
      </c>
      <c r="X31" t="inlineStr">
        <is>
          <t>1996-08-07</t>
        </is>
      </c>
      <c r="Y31" t="n">
        <v>91</v>
      </c>
      <c r="Z31" t="n">
        <v>81</v>
      </c>
      <c r="AA31" t="n">
        <v>192</v>
      </c>
      <c r="AB31" t="n">
        <v>1</v>
      </c>
      <c r="AC31" t="n">
        <v>2</v>
      </c>
      <c r="AD31" t="n">
        <v>2</v>
      </c>
      <c r="AE31" t="n">
        <v>6</v>
      </c>
      <c r="AF31" t="n">
        <v>1</v>
      </c>
      <c r="AG31" t="n">
        <v>2</v>
      </c>
      <c r="AH31" t="n">
        <v>0</v>
      </c>
      <c r="AI31" t="n">
        <v>1</v>
      </c>
      <c r="AJ31" t="n">
        <v>2</v>
      </c>
      <c r="AK31" t="n">
        <v>4</v>
      </c>
      <c r="AL31" t="n">
        <v>0</v>
      </c>
      <c r="AM31" t="n">
        <v>1</v>
      </c>
      <c r="AN31" t="n">
        <v>0</v>
      </c>
      <c r="AO31" t="n">
        <v>0</v>
      </c>
      <c r="AP31" t="inlineStr">
        <is>
          <t>Yes</t>
        </is>
      </c>
      <c r="AQ31" t="inlineStr">
        <is>
          <t>No</t>
        </is>
      </c>
      <c r="AR31">
        <f>HYPERLINK("http://catalog.hathitrust.org/Record/000475025","HathiTrust Record")</f>
        <v/>
      </c>
      <c r="AS31">
        <f>HYPERLINK("https://creighton-primo.hosted.exlibrisgroup.com/primo-explore/search?tab=default_tab&amp;search_scope=EVERYTHING&amp;vid=01CRU&amp;lang=en_US&amp;offset=0&amp;query=any,contains,991004501859702656","Catalog Record")</f>
        <v/>
      </c>
      <c r="AT31">
        <f>HYPERLINK("http://www.worldcat.org/oclc/3724216","WorldCat Record")</f>
        <v/>
      </c>
      <c r="AU31" t="inlineStr">
        <is>
          <t>2274204:eng</t>
        </is>
      </c>
      <c r="AV31" t="inlineStr">
        <is>
          <t>3724216</t>
        </is>
      </c>
      <c r="AW31" t="inlineStr">
        <is>
          <t>991004501859702656</t>
        </is>
      </c>
      <c r="AX31" t="inlineStr">
        <is>
          <t>991004501859702656</t>
        </is>
      </c>
      <c r="AY31" t="inlineStr">
        <is>
          <t>2260920890002656</t>
        </is>
      </c>
      <c r="AZ31" t="inlineStr">
        <is>
          <t>BOOK</t>
        </is>
      </c>
      <c r="BC31" t="inlineStr">
        <is>
          <t>32285002257839</t>
        </is>
      </c>
      <c r="BD31" t="inlineStr">
        <is>
          <t>893606109</t>
        </is>
      </c>
    </row>
    <row r="32">
      <c r="A32" t="inlineStr">
        <is>
          <t>No</t>
        </is>
      </c>
      <c r="B32" t="inlineStr">
        <is>
          <t>BF1031 .P775</t>
        </is>
      </c>
      <c r="C32" t="inlineStr">
        <is>
          <t>0                      BF 1031000P  775</t>
        </is>
      </c>
      <c r="D32" t="inlineStr">
        <is>
          <t>Progress in parapsychology, edited by J. B. Rhine.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L32" t="inlineStr">
        <is>
          <t>Durham, N.C., Parapsychology Press [1971]</t>
        </is>
      </c>
      <c r="M32" t="inlineStr">
        <is>
          <t>1971</t>
        </is>
      </c>
      <c r="O32" t="inlineStr">
        <is>
          <t>eng</t>
        </is>
      </c>
      <c r="P32" t="inlineStr">
        <is>
          <t>ncu</t>
        </is>
      </c>
      <c r="R32" t="inlineStr">
        <is>
          <t xml:space="preserve">BF </t>
        </is>
      </c>
      <c r="S32" t="n">
        <v>8</v>
      </c>
      <c r="T32" t="n">
        <v>8</v>
      </c>
      <c r="U32" t="inlineStr">
        <is>
          <t>2000-09-07</t>
        </is>
      </c>
      <c r="V32" t="inlineStr">
        <is>
          <t>2000-09-07</t>
        </is>
      </c>
      <c r="W32" t="inlineStr">
        <is>
          <t>1996-08-07</t>
        </is>
      </c>
      <c r="X32" t="inlineStr">
        <is>
          <t>1996-08-07</t>
        </is>
      </c>
      <c r="Y32" t="n">
        <v>480</v>
      </c>
      <c r="Z32" t="n">
        <v>429</v>
      </c>
      <c r="AA32" t="n">
        <v>436</v>
      </c>
      <c r="AB32" t="n">
        <v>3</v>
      </c>
      <c r="AC32" t="n">
        <v>3</v>
      </c>
      <c r="AD32" t="n">
        <v>12</v>
      </c>
      <c r="AE32" t="n">
        <v>12</v>
      </c>
      <c r="AF32" t="n">
        <v>4</v>
      </c>
      <c r="AG32" t="n">
        <v>4</v>
      </c>
      <c r="AH32" t="n">
        <v>2</v>
      </c>
      <c r="AI32" t="n">
        <v>2</v>
      </c>
      <c r="AJ32" t="n">
        <v>7</v>
      </c>
      <c r="AK32" t="n">
        <v>7</v>
      </c>
      <c r="AL32" t="n">
        <v>2</v>
      </c>
      <c r="AM32" t="n">
        <v>2</v>
      </c>
      <c r="AN32" t="n">
        <v>0</v>
      </c>
      <c r="AO32" t="n">
        <v>0</v>
      </c>
      <c r="AP32" t="inlineStr">
        <is>
          <t>No</t>
        </is>
      </c>
      <c r="AQ32" t="inlineStr">
        <is>
          <t>Yes</t>
        </is>
      </c>
      <c r="AR32">
        <f>HYPERLINK("http://catalog.hathitrust.org/Record/000475052","HathiTrust Record")</f>
        <v/>
      </c>
      <c r="AS32">
        <f>HYPERLINK("https://creighton-primo.hosted.exlibrisgroup.com/primo-explore/search?tab=default_tab&amp;search_scope=EVERYTHING&amp;vid=01CRU&amp;lang=en_US&amp;offset=0&amp;query=any,contains,991000821059702656","Catalog Record")</f>
        <v/>
      </c>
      <c r="AT32">
        <f>HYPERLINK("http://www.worldcat.org/oclc/144891","WorldCat Record")</f>
        <v/>
      </c>
      <c r="AU32" t="inlineStr">
        <is>
          <t>1090994327:eng</t>
        </is>
      </c>
      <c r="AV32" t="inlineStr">
        <is>
          <t>144891</t>
        </is>
      </c>
      <c r="AW32" t="inlineStr">
        <is>
          <t>991000821059702656</t>
        </is>
      </c>
      <c r="AX32" t="inlineStr">
        <is>
          <t>991000821059702656</t>
        </is>
      </c>
      <c r="AY32" t="inlineStr">
        <is>
          <t>2257421970002656</t>
        </is>
      </c>
      <c r="AZ32" t="inlineStr">
        <is>
          <t>BOOK</t>
        </is>
      </c>
      <c r="BC32" t="inlineStr">
        <is>
          <t>32285002257847</t>
        </is>
      </c>
      <c r="BD32" t="inlineStr">
        <is>
          <t>893620822</t>
        </is>
      </c>
    </row>
    <row r="33">
      <c r="A33" t="inlineStr">
        <is>
          <t>No</t>
        </is>
      </c>
      <c r="B33" t="inlineStr">
        <is>
          <t>BF1031 .R23</t>
        </is>
      </c>
      <c r="C33" t="inlineStr">
        <is>
          <t>0                      BF 1031000R  23</t>
        </is>
      </c>
      <c r="D33" t="inlineStr">
        <is>
          <t>Experimental parapsychology; a review and interpretation, by K. Ramakrishna Rao.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Rao, K. Ramakrishna.</t>
        </is>
      </c>
      <c r="L33" t="inlineStr">
        <is>
          <t>Springfield, Ill., Thomas [1966]</t>
        </is>
      </c>
      <c r="M33" t="inlineStr">
        <is>
          <t>1966</t>
        </is>
      </c>
      <c r="O33" t="inlineStr">
        <is>
          <t>eng</t>
        </is>
      </c>
      <c r="P33" t="inlineStr">
        <is>
          <t>ilu</t>
        </is>
      </c>
      <c r="R33" t="inlineStr">
        <is>
          <t xml:space="preserve">BF </t>
        </is>
      </c>
      <c r="S33" t="n">
        <v>10</v>
      </c>
      <c r="T33" t="n">
        <v>10</v>
      </c>
      <c r="U33" t="inlineStr">
        <is>
          <t>2000-10-09</t>
        </is>
      </c>
      <c r="V33" t="inlineStr">
        <is>
          <t>2000-10-09</t>
        </is>
      </c>
      <c r="W33" t="inlineStr">
        <is>
          <t>1996-08-07</t>
        </is>
      </c>
      <c r="X33" t="inlineStr">
        <is>
          <t>1996-08-07</t>
        </is>
      </c>
      <c r="Y33" t="n">
        <v>290</v>
      </c>
      <c r="Z33" t="n">
        <v>247</v>
      </c>
      <c r="AA33" t="n">
        <v>249</v>
      </c>
      <c r="AB33" t="n">
        <v>1</v>
      </c>
      <c r="AC33" t="n">
        <v>1</v>
      </c>
      <c r="AD33" t="n">
        <v>9</v>
      </c>
      <c r="AE33" t="n">
        <v>9</v>
      </c>
      <c r="AF33" t="n">
        <v>4</v>
      </c>
      <c r="AG33" t="n">
        <v>4</v>
      </c>
      <c r="AH33" t="n">
        <v>1</v>
      </c>
      <c r="AI33" t="n">
        <v>1</v>
      </c>
      <c r="AJ33" t="n">
        <v>5</v>
      </c>
      <c r="AK33" t="n">
        <v>5</v>
      </c>
      <c r="AL33" t="n">
        <v>0</v>
      </c>
      <c r="AM33" t="n">
        <v>0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HYPERLINK("http://catalog.hathitrust.org/Record/000473676","HathiTrust Record")</f>
        <v/>
      </c>
      <c r="AS33">
        <f>HYPERLINK("https://creighton-primo.hosted.exlibrisgroup.com/primo-explore/search?tab=default_tab&amp;search_scope=EVERYTHING&amp;vid=01CRU&amp;lang=en_US&amp;offset=0&amp;query=any,contains,991003473649702656","Catalog Record")</f>
        <v/>
      </c>
      <c r="AT33">
        <f>HYPERLINK("http://www.worldcat.org/oclc/1017076","WorldCat Record")</f>
        <v/>
      </c>
      <c r="AU33" t="inlineStr">
        <is>
          <t>319425634:eng</t>
        </is>
      </c>
      <c r="AV33" t="inlineStr">
        <is>
          <t>1017076</t>
        </is>
      </c>
      <c r="AW33" t="inlineStr">
        <is>
          <t>991003473649702656</t>
        </is>
      </c>
      <c r="AX33" t="inlineStr">
        <is>
          <t>991003473649702656</t>
        </is>
      </c>
      <c r="AY33" t="inlineStr">
        <is>
          <t>2259477400002656</t>
        </is>
      </c>
      <c r="AZ33" t="inlineStr">
        <is>
          <t>BOOK</t>
        </is>
      </c>
      <c r="BC33" t="inlineStr">
        <is>
          <t>32285002257854</t>
        </is>
      </c>
      <c r="BD33" t="inlineStr">
        <is>
          <t>893258448</t>
        </is>
      </c>
    </row>
    <row r="34">
      <c r="A34" t="inlineStr">
        <is>
          <t>No</t>
        </is>
      </c>
      <c r="B34" t="inlineStr">
        <is>
          <t>BF1031 .R37 1964</t>
        </is>
      </c>
      <c r="C34" t="inlineStr">
        <is>
          <t>0                      BF 1031000R  37          1964</t>
        </is>
      </c>
      <c r="D34" t="inlineStr">
        <is>
          <t>Extra-sensory perception / by J. B. Rhine. With a foreword by William McDougall and an introd. by Walter Franklin Prince.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Rhine, J. B. (Joseph Banks), 1895-1980.</t>
        </is>
      </c>
      <c r="L34" t="inlineStr">
        <is>
          <t>Boston : B. Humphries, [1964]</t>
        </is>
      </c>
      <c r="M34" t="inlineStr">
        <is>
          <t>1964</t>
        </is>
      </c>
      <c r="O34" t="inlineStr">
        <is>
          <t>eng</t>
        </is>
      </c>
      <c r="P34" t="inlineStr">
        <is>
          <t>mau</t>
        </is>
      </c>
      <c r="R34" t="inlineStr">
        <is>
          <t xml:space="preserve">BF </t>
        </is>
      </c>
      <c r="S34" t="n">
        <v>16</v>
      </c>
      <c r="T34" t="n">
        <v>16</v>
      </c>
      <c r="U34" t="inlineStr">
        <is>
          <t>2009-03-17</t>
        </is>
      </c>
      <c r="V34" t="inlineStr">
        <is>
          <t>2009-03-17</t>
        </is>
      </c>
      <c r="W34" t="inlineStr">
        <is>
          <t>1995-05-01</t>
        </is>
      </c>
      <c r="X34" t="inlineStr">
        <is>
          <t>1995-05-01</t>
        </is>
      </c>
      <c r="Y34" t="n">
        <v>358</v>
      </c>
      <c r="Z34" t="n">
        <v>333</v>
      </c>
      <c r="AA34" t="n">
        <v>771</v>
      </c>
      <c r="AB34" t="n">
        <v>5</v>
      </c>
      <c r="AC34" t="n">
        <v>8</v>
      </c>
      <c r="AD34" t="n">
        <v>12</v>
      </c>
      <c r="AE34" t="n">
        <v>26</v>
      </c>
      <c r="AF34" t="n">
        <v>3</v>
      </c>
      <c r="AG34" t="n">
        <v>9</v>
      </c>
      <c r="AH34" t="n">
        <v>1</v>
      </c>
      <c r="AI34" t="n">
        <v>3</v>
      </c>
      <c r="AJ34" t="n">
        <v>7</v>
      </c>
      <c r="AK34" t="n">
        <v>14</v>
      </c>
      <c r="AL34" t="n">
        <v>3</v>
      </c>
      <c r="AM34" t="n">
        <v>5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HYPERLINK("http://catalog.hathitrust.org/Record/101870161","HathiTrust Record")</f>
        <v/>
      </c>
      <c r="AS34">
        <f>HYPERLINK("https://creighton-primo.hosted.exlibrisgroup.com/primo-explore/search?tab=default_tab&amp;search_scope=EVERYTHING&amp;vid=01CRU&amp;lang=en_US&amp;offset=0&amp;query=any,contains,991003104599702656","Catalog Record")</f>
        <v/>
      </c>
      <c r="AT34">
        <f>HYPERLINK("http://www.worldcat.org/oclc/653398","WorldCat Record")</f>
        <v/>
      </c>
      <c r="AU34" t="inlineStr">
        <is>
          <t>580874:eng</t>
        </is>
      </c>
      <c r="AV34" t="inlineStr">
        <is>
          <t>653398</t>
        </is>
      </c>
      <c r="AW34" t="inlineStr">
        <is>
          <t>991003104599702656</t>
        </is>
      </c>
      <c r="AX34" t="inlineStr">
        <is>
          <t>991003104599702656</t>
        </is>
      </c>
      <c r="AY34" t="inlineStr">
        <is>
          <t>2264079820002656</t>
        </is>
      </c>
      <c r="AZ34" t="inlineStr">
        <is>
          <t>BOOK</t>
        </is>
      </c>
      <c r="BC34" t="inlineStr">
        <is>
          <t>32285002021011</t>
        </is>
      </c>
      <c r="BD34" t="inlineStr">
        <is>
          <t>893598273</t>
        </is>
      </c>
    </row>
    <row r="35">
      <c r="A35" t="inlineStr">
        <is>
          <t>No</t>
        </is>
      </c>
      <c r="B35" t="inlineStr">
        <is>
          <t>BF1031 .R376 1957</t>
        </is>
      </c>
      <c r="C35" t="inlineStr">
        <is>
          <t>0                      BF 1031000R  376         1957</t>
        </is>
      </c>
      <c r="D35" t="inlineStr">
        <is>
          <t>Parapsychology, frontier science of the mind : a survey of the field, the methods, and the facts of ESP and PK research / by J. B. Rhine and J. G. Pratt.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Rhine, J. B. (Joseph Banks), 1895-1980.</t>
        </is>
      </c>
      <c r="L35" t="inlineStr">
        <is>
          <t>Springfield, Ill. : Thomas, [1957]</t>
        </is>
      </c>
      <c r="M35" t="inlineStr">
        <is>
          <t>1957</t>
        </is>
      </c>
      <c r="O35" t="inlineStr">
        <is>
          <t>eng</t>
        </is>
      </c>
      <c r="P35" t="inlineStr">
        <is>
          <t>ilu</t>
        </is>
      </c>
      <c r="R35" t="inlineStr">
        <is>
          <t xml:space="preserve">BF </t>
        </is>
      </c>
      <c r="S35" t="n">
        <v>9</v>
      </c>
      <c r="T35" t="n">
        <v>9</v>
      </c>
      <c r="U35" t="inlineStr">
        <is>
          <t>2000-10-09</t>
        </is>
      </c>
      <c r="V35" t="inlineStr">
        <is>
          <t>2000-10-09</t>
        </is>
      </c>
      <c r="W35" t="inlineStr">
        <is>
          <t>1990-10-01</t>
        </is>
      </c>
      <c r="X35" t="inlineStr">
        <is>
          <t>1990-10-01</t>
        </is>
      </c>
      <c r="Y35" t="n">
        <v>627</v>
      </c>
      <c r="Z35" t="n">
        <v>576</v>
      </c>
      <c r="AA35" t="n">
        <v>938</v>
      </c>
      <c r="AB35" t="n">
        <v>4</v>
      </c>
      <c r="AC35" t="n">
        <v>9</v>
      </c>
      <c r="AD35" t="n">
        <v>16</v>
      </c>
      <c r="AE35" t="n">
        <v>37</v>
      </c>
      <c r="AF35" t="n">
        <v>8</v>
      </c>
      <c r="AG35" t="n">
        <v>18</v>
      </c>
      <c r="AH35" t="n">
        <v>0</v>
      </c>
      <c r="AI35" t="n">
        <v>4</v>
      </c>
      <c r="AJ35" t="n">
        <v>8</v>
      </c>
      <c r="AK35" t="n">
        <v>14</v>
      </c>
      <c r="AL35" t="n">
        <v>3</v>
      </c>
      <c r="AM35" t="n">
        <v>8</v>
      </c>
      <c r="AN35" t="n">
        <v>0</v>
      </c>
      <c r="AO35" t="n">
        <v>0</v>
      </c>
      <c r="AP35" t="inlineStr">
        <is>
          <t>Yes</t>
        </is>
      </c>
      <c r="AQ35" t="inlineStr">
        <is>
          <t>No</t>
        </is>
      </c>
      <c r="AR35">
        <f>HYPERLINK("http://catalog.hathitrust.org/Record/000473701","HathiTrust Record")</f>
        <v/>
      </c>
      <c r="AS35">
        <f>HYPERLINK("https://creighton-primo.hosted.exlibrisgroup.com/primo-explore/search?tab=default_tab&amp;search_scope=EVERYTHING&amp;vid=01CRU&amp;lang=en_US&amp;offset=0&amp;query=any,contains,991001073899702656","Catalog Record")</f>
        <v/>
      </c>
      <c r="AT35">
        <f>HYPERLINK("http://www.worldcat.org/oclc/179209","WorldCat Record")</f>
        <v/>
      </c>
      <c r="AU35" t="inlineStr">
        <is>
          <t>471203:eng</t>
        </is>
      </c>
      <c r="AV35" t="inlineStr">
        <is>
          <t>179209</t>
        </is>
      </c>
      <c r="AW35" t="inlineStr">
        <is>
          <t>991001073899702656</t>
        </is>
      </c>
      <c r="AX35" t="inlineStr">
        <is>
          <t>991001073899702656</t>
        </is>
      </c>
      <c r="AY35" t="inlineStr">
        <is>
          <t>2265151510002656</t>
        </is>
      </c>
      <c r="AZ35" t="inlineStr">
        <is>
          <t>BOOK</t>
        </is>
      </c>
      <c r="BC35" t="inlineStr">
        <is>
          <t>32285000323104</t>
        </is>
      </c>
      <c r="BD35" t="inlineStr">
        <is>
          <t>893602297</t>
        </is>
      </c>
    </row>
    <row r="36">
      <c r="A36" t="inlineStr">
        <is>
          <t>No</t>
        </is>
      </c>
      <c r="B36" t="inlineStr">
        <is>
          <t>BF1031 .S2 1986</t>
        </is>
      </c>
      <c r="C36" t="inlineStr">
        <is>
          <t>0                      BF 1031000S  2           1986</t>
        </is>
      </c>
      <c r="D36" t="inlineStr">
        <is>
          <t>Science confronts the paranormal / edited by Kendrick Frazier.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Buffalo, NY : Prometheus Books, 1986.</t>
        </is>
      </c>
      <c r="M36" t="inlineStr">
        <is>
          <t>1986</t>
        </is>
      </c>
      <c r="O36" t="inlineStr">
        <is>
          <t>eng</t>
        </is>
      </c>
      <c r="P36" t="inlineStr">
        <is>
          <t>nyu</t>
        </is>
      </c>
      <c r="R36" t="inlineStr">
        <is>
          <t xml:space="preserve">BF </t>
        </is>
      </c>
      <c r="S36" t="n">
        <v>10</v>
      </c>
      <c r="T36" t="n">
        <v>10</v>
      </c>
      <c r="U36" t="inlineStr">
        <is>
          <t>2003-02-04</t>
        </is>
      </c>
      <c r="V36" t="inlineStr">
        <is>
          <t>2003-02-04</t>
        </is>
      </c>
      <c r="W36" t="inlineStr">
        <is>
          <t>1990-04-12</t>
        </is>
      </c>
      <c r="X36" t="inlineStr">
        <is>
          <t>1990-04-12</t>
        </is>
      </c>
      <c r="Y36" t="n">
        <v>762</v>
      </c>
      <c r="Z36" t="n">
        <v>678</v>
      </c>
      <c r="AA36" t="n">
        <v>678</v>
      </c>
      <c r="AB36" t="n">
        <v>5</v>
      </c>
      <c r="AC36" t="n">
        <v>5</v>
      </c>
      <c r="AD36" t="n">
        <v>21</v>
      </c>
      <c r="AE36" t="n">
        <v>21</v>
      </c>
      <c r="AF36" t="n">
        <v>6</v>
      </c>
      <c r="AG36" t="n">
        <v>6</v>
      </c>
      <c r="AH36" t="n">
        <v>5</v>
      </c>
      <c r="AI36" t="n">
        <v>5</v>
      </c>
      <c r="AJ36" t="n">
        <v>10</v>
      </c>
      <c r="AK36" t="n">
        <v>10</v>
      </c>
      <c r="AL36" t="n">
        <v>4</v>
      </c>
      <c r="AM36" t="n">
        <v>4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HYPERLINK("https://creighton-primo.hosted.exlibrisgroup.com/primo-explore/search?tab=default_tab&amp;search_scope=EVERYTHING&amp;vid=01CRU&amp;lang=en_US&amp;offset=0&amp;query=any,contains,991000736819702656","Catalog Record")</f>
        <v/>
      </c>
      <c r="AT36">
        <f>HYPERLINK("http://www.worldcat.org/oclc/12791286","WorldCat Record")</f>
        <v/>
      </c>
      <c r="AU36" t="inlineStr">
        <is>
          <t>5771956:eng</t>
        </is>
      </c>
      <c r="AV36" t="inlineStr">
        <is>
          <t>12791286</t>
        </is>
      </c>
      <c r="AW36" t="inlineStr">
        <is>
          <t>991000736819702656</t>
        </is>
      </c>
      <c r="AX36" t="inlineStr">
        <is>
          <t>991000736819702656</t>
        </is>
      </c>
      <c r="AY36" t="inlineStr">
        <is>
          <t>2258853850002656</t>
        </is>
      </c>
      <c r="AZ36" t="inlineStr">
        <is>
          <t>BOOK</t>
        </is>
      </c>
      <c r="BB36" t="inlineStr">
        <is>
          <t>9780879753146</t>
        </is>
      </c>
      <c r="BC36" t="inlineStr">
        <is>
          <t>32285000121607</t>
        </is>
      </c>
      <c r="BD36" t="inlineStr">
        <is>
          <t>893595830</t>
        </is>
      </c>
    </row>
    <row r="37">
      <c r="A37" t="inlineStr">
        <is>
          <t>No</t>
        </is>
      </c>
      <c r="B37" t="inlineStr">
        <is>
          <t>BF1033 .W512</t>
        </is>
      </c>
      <c r="C37" t="inlineStr">
        <is>
          <t>0                      BF 1033000W  512</t>
        </is>
      </c>
      <c r="D37" t="inlineStr">
        <is>
          <t>Occult phenomena in the light of theology.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Wiesinger, Alois, 1885-</t>
        </is>
      </c>
      <c r="L37" t="inlineStr">
        <is>
          <t>Westminster, Md., Newman Press, 1957.</t>
        </is>
      </c>
      <c r="M37" t="inlineStr">
        <is>
          <t>1957</t>
        </is>
      </c>
      <c r="O37" t="inlineStr">
        <is>
          <t>eng</t>
        </is>
      </c>
      <c r="P37" t="inlineStr">
        <is>
          <t xml:space="preserve">xx </t>
        </is>
      </c>
      <c r="R37" t="inlineStr">
        <is>
          <t xml:space="preserve">BF </t>
        </is>
      </c>
      <c r="S37" t="n">
        <v>6</v>
      </c>
      <c r="T37" t="n">
        <v>6</v>
      </c>
      <c r="U37" t="inlineStr">
        <is>
          <t>2009-02-20</t>
        </is>
      </c>
      <c r="V37" t="inlineStr">
        <is>
          <t>2009-02-20</t>
        </is>
      </c>
      <c r="W37" t="inlineStr">
        <is>
          <t>1996-08-07</t>
        </is>
      </c>
      <c r="X37" t="inlineStr">
        <is>
          <t>1996-08-07</t>
        </is>
      </c>
      <c r="Y37" t="n">
        <v>98</v>
      </c>
      <c r="Z37" t="n">
        <v>87</v>
      </c>
      <c r="AA37" t="n">
        <v>164</v>
      </c>
      <c r="AB37" t="n">
        <v>2</v>
      </c>
      <c r="AC37" t="n">
        <v>2</v>
      </c>
      <c r="AD37" t="n">
        <v>15</v>
      </c>
      <c r="AE37" t="n">
        <v>21</v>
      </c>
      <c r="AF37" t="n">
        <v>6</v>
      </c>
      <c r="AG37" t="n">
        <v>8</v>
      </c>
      <c r="AH37" t="n">
        <v>3</v>
      </c>
      <c r="AI37" t="n">
        <v>4</v>
      </c>
      <c r="AJ37" t="n">
        <v>10</v>
      </c>
      <c r="AK37" t="n">
        <v>15</v>
      </c>
      <c r="AL37" t="n">
        <v>0</v>
      </c>
      <c r="AM37" t="n">
        <v>0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HYPERLINK("http://catalog.hathitrust.org/Record/102580413","HathiTrust Record")</f>
        <v/>
      </c>
      <c r="AS37">
        <f>HYPERLINK("https://creighton-primo.hosted.exlibrisgroup.com/primo-explore/search?tab=default_tab&amp;search_scope=EVERYTHING&amp;vid=01CRU&amp;lang=en_US&amp;offset=0&amp;query=any,contains,991005253849702656","Catalog Record")</f>
        <v/>
      </c>
      <c r="AT37">
        <f>HYPERLINK("http://www.worldcat.org/oclc/2658620","WorldCat Record")</f>
        <v/>
      </c>
      <c r="AU37" t="inlineStr">
        <is>
          <t>5575830:eng</t>
        </is>
      </c>
      <c r="AV37" t="inlineStr">
        <is>
          <t>2658620</t>
        </is>
      </c>
      <c r="AW37" t="inlineStr">
        <is>
          <t>991005253849702656</t>
        </is>
      </c>
      <c r="AX37" t="inlineStr">
        <is>
          <t>991005253849702656</t>
        </is>
      </c>
      <c r="AY37" t="inlineStr">
        <is>
          <t>2255461910002656</t>
        </is>
      </c>
      <c r="AZ37" t="inlineStr">
        <is>
          <t>BOOK</t>
        </is>
      </c>
      <c r="BC37" t="inlineStr">
        <is>
          <t>32285002257888</t>
        </is>
      </c>
      <c r="BD37" t="inlineStr">
        <is>
          <t>893688845</t>
        </is>
      </c>
    </row>
    <row r="38">
      <c r="A38" t="inlineStr">
        <is>
          <t>No</t>
        </is>
      </c>
      <c r="B38" t="inlineStr">
        <is>
          <t>BF1038.D8 T4513</t>
        </is>
      </c>
      <c r="C38" t="inlineStr">
        <is>
          <t>0                      BF 1038000D  8                  T  4513</t>
        </is>
      </c>
      <c r="D38" t="inlineStr">
        <is>
          <t>Telepathy and clairvoyance : views of some little investigated capabilities of man / by W. H. C. Tenhaeff. With a foreword by Berthold Eric Schwarz.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Tenhaeff, W. H. C. (Wilhelm Heinrich Carl), 1894-</t>
        </is>
      </c>
      <c r="L38" t="inlineStr">
        <is>
          <t>Springfield, Ill. : Thomas, [1972]</t>
        </is>
      </c>
      <c r="M38" t="inlineStr">
        <is>
          <t>1972</t>
        </is>
      </c>
      <c r="O38" t="inlineStr">
        <is>
          <t>eng</t>
        </is>
      </c>
      <c r="P38" t="inlineStr">
        <is>
          <t>ilu</t>
        </is>
      </c>
      <c r="R38" t="inlineStr">
        <is>
          <t xml:space="preserve">BF </t>
        </is>
      </c>
      <c r="S38" t="n">
        <v>11</v>
      </c>
      <c r="T38" t="n">
        <v>11</v>
      </c>
      <c r="U38" t="inlineStr">
        <is>
          <t>2009-03-17</t>
        </is>
      </c>
      <c r="V38" t="inlineStr">
        <is>
          <t>2009-03-17</t>
        </is>
      </c>
      <c r="W38" t="inlineStr">
        <is>
          <t>1990-11-30</t>
        </is>
      </c>
      <c r="X38" t="inlineStr">
        <is>
          <t>1990-11-30</t>
        </is>
      </c>
      <c r="Y38" t="n">
        <v>251</v>
      </c>
      <c r="Z38" t="n">
        <v>220</v>
      </c>
      <c r="AA38" t="n">
        <v>227</v>
      </c>
      <c r="AB38" t="n">
        <v>3</v>
      </c>
      <c r="AC38" t="n">
        <v>3</v>
      </c>
      <c r="AD38" t="n">
        <v>7</v>
      </c>
      <c r="AE38" t="n">
        <v>7</v>
      </c>
      <c r="AF38" t="n">
        <v>3</v>
      </c>
      <c r="AG38" t="n">
        <v>3</v>
      </c>
      <c r="AH38" t="n">
        <v>0</v>
      </c>
      <c r="AI38" t="n">
        <v>0</v>
      </c>
      <c r="AJ38" t="n">
        <v>2</v>
      </c>
      <c r="AK38" t="n">
        <v>2</v>
      </c>
      <c r="AL38" t="n">
        <v>2</v>
      </c>
      <c r="AM38" t="n">
        <v>2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HYPERLINK("http://catalog.hathitrust.org/Record/000472431","HathiTrust Record")</f>
        <v/>
      </c>
      <c r="AS38">
        <f>HYPERLINK("https://creighton-primo.hosted.exlibrisgroup.com/primo-explore/search?tab=default_tab&amp;search_scope=EVERYTHING&amp;vid=01CRU&amp;lang=en_US&amp;offset=0&amp;query=any,contains,991003201539702656","Catalog Record")</f>
        <v/>
      </c>
      <c r="AT38">
        <f>HYPERLINK("http://www.worldcat.org/oclc/726591","WorldCat Record")</f>
        <v/>
      </c>
      <c r="AU38" t="inlineStr">
        <is>
          <t>471316:eng</t>
        </is>
      </c>
      <c r="AV38" t="inlineStr">
        <is>
          <t>726591</t>
        </is>
      </c>
      <c r="AW38" t="inlineStr">
        <is>
          <t>991003201539702656</t>
        </is>
      </c>
      <c r="AX38" t="inlineStr">
        <is>
          <t>991003201539702656</t>
        </is>
      </c>
      <c r="AY38" t="inlineStr">
        <is>
          <t>2264069530002656</t>
        </is>
      </c>
      <c r="AZ38" t="inlineStr">
        <is>
          <t>BOOK</t>
        </is>
      </c>
      <c r="BB38" t="inlineStr">
        <is>
          <t>9780398024550</t>
        </is>
      </c>
      <c r="BC38" t="inlineStr">
        <is>
          <t>32285000410034</t>
        </is>
      </c>
      <c r="BD38" t="inlineStr">
        <is>
          <t>893880909</t>
        </is>
      </c>
    </row>
    <row r="39">
      <c r="A39" t="inlineStr">
        <is>
          <t>No</t>
        </is>
      </c>
      <c r="B39" t="inlineStr">
        <is>
          <t>BF1038.S7 J313 1974</t>
        </is>
      </c>
      <c r="C39" t="inlineStr">
        <is>
          <t>0                      BF 1038000S  7                  J  313         1974</t>
        </is>
      </c>
      <c r="D39" t="inlineStr">
        <is>
          <t>Life without death? / [by] Nils O. Jacobson.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Jacobson, Nils-Olof, 1937-</t>
        </is>
      </c>
      <c r="L39" t="inlineStr">
        <is>
          <t>[New York : Dell Pub. Co., 1974]</t>
        </is>
      </c>
      <c r="M39" t="inlineStr">
        <is>
          <t>1974</t>
        </is>
      </c>
      <c r="O39" t="inlineStr">
        <is>
          <t>eng</t>
        </is>
      </c>
      <c r="P39" t="inlineStr">
        <is>
          <t xml:space="preserve">xx </t>
        </is>
      </c>
      <c r="R39" t="inlineStr">
        <is>
          <t xml:space="preserve">BF </t>
        </is>
      </c>
      <c r="S39" t="n">
        <v>3</v>
      </c>
      <c r="T39" t="n">
        <v>3</v>
      </c>
      <c r="U39" t="inlineStr">
        <is>
          <t>2002-09-16</t>
        </is>
      </c>
      <c r="V39" t="inlineStr">
        <is>
          <t>2002-09-16</t>
        </is>
      </c>
      <c r="W39" t="inlineStr">
        <is>
          <t>1993-04-26</t>
        </is>
      </c>
      <c r="X39" t="inlineStr">
        <is>
          <t>1993-04-26</t>
        </is>
      </c>
      <c r="Y39" t="n">
        <v>21</v>
      </c>
      <c r="Z39" t="n">
        <v>19</v>
      </c>
      <c r="AA39" t="n">
        <v>481</v>
      </c>
      <c r="AB39" t="n">
        <v>1</v>
      </c>
      <c r="AC39" t="n">
        <v>2</v>
      </c>
      <c r="AD39" t="n">
        <v>2</v>
      </c>
      <c r="AE39" t="n">
        <v>17</v>
      </c>
      <c r="AF39" t="n">
        <v>0</v>
      </c>
      <c r="AG39" t="n">
        <v>8</v>
      </c>
      <c r="AH39" t="n">
        <v>0</v>
      </c>
      <c r="AI39" t="n">
        <v>4</v>
      </c>
      <c r="AJ39" t="n">
        <v>2</v>
      </c>
      <c r="AK39" t="n">
        <v>8</v>
      </c>
      <c r="AL39" t="n">
        <v>0</v>
      </c>
      <c r="AM39" t="n">
        <v>1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HYPERLINK("http://catalog.hathitrust.org/Record/007045012","HathiTrust Record")</f>
        <v/>
      </c>
      <c r="AS39">
        <f>HYPERLINK("https://creighton-primo.hosted.exlibrisgroup.com/primo-explore/search?tab=default_tab&amp;search_scope=EVERYTHING&amp;vid=01CRU&amp;lang=en_US&amp;offset=0&amp;query=any,contains,991003709679702656","Catalog Record")</f>
        <v/>
      </c>
      <c r="AT39">
        <f>HYPERLINK("http://www.worldcat.org/oclc/1348564","WorldCat Record")</f>
        <v/>
      </c>
      <c r="AU39" t="inlineStr">
        <is>
          <t>2246101:eng</t>
        </is>
      </c>
      <c r="AV39" t="inlineStr">
        <is>
          <t>1348564</t>
        </is>
      </c>
      <c r="AW39" t="inlineStr">
        <is>
          <t>991003709679702656</t>
        </is>
      </c>
      <c r="AX39" t="inlineStr">
        <is>
          <t>991003709679702656</t>
        </is>
      </c>
      <c r="AY39" t="inlineStr">
        <is>
          <t>2257422100002656</t>
        </is>
      </c>
      <c r="AZ39" t="inlineStr">
        <is>
          <t>BOOK</t>
        </is>
      </c>
      <c r="BC39" t="inlineStr">
        <is>
          <t>32285001580934</t>
        </is>
      </c>
      <c r="BD39" t="inlineStr">
        <is>
          <t>893781301</t>
        </is>
      </c>
    </row>
    <row r="40">
      <c r="A40" t="inlineStr">
        <is>
          <t>No</t>
        </is>
      </c>
      <c r="B40" t="inlineStr">
        <is>
          <t>BF1042 .H26</t>
        </is>
      </c>
      <c r="C40" t="inlineStr">
        <is>
          <t>0                      BF 1042000H  26</t>
        </is>
      </c>
      <c r="D40" t="inlineStr">
        <is>
          <t>Essays in occultism, spiritism, and demonology, by Dean W. R. Harris.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Harris, William Richard, 1847-1923.</t>
        </is>
      </c>
      <c r="L40" t="inlineStr">
        <is>
          <t>St. Louis, Mo., B. Herder Book Co., 1919.</t>
        </is>
      </c>
      <c r="M40" t="inlineStr">
        <is>
          <t>1919</t>
        </is>
      </c>
      <c r="O40" t="inlineStr">
        <is>
          <t>eng</t>
        </is>
      </c>
      <c r="P40" t="inlineStr">
        <is>
          <t>mou</t>
        </is>
      </c>
      <c r="R40" t="inlineStr">
        <is>
          <t xml:space="preserve">BF </t>
        </is>
      </c>
      <c r="S40" t="n">
        <v>4</v>
      </c>
      <c r="T40" t="n">
        <v>4</v>
      </c>
      <c r="U40" t="inlineStr">
        <is>
          <t>2004-02-25</t>
        </is>
      </c>
      <c r="V40" t="inlineStr">
        <is>
          <t>2004-02-25</t>
        </is>
      </c>
      <c r="W40" t="inlineStr">
        <is>
          <t>1996-08-07</t>
        </is>
      </c>
      <c r="X40" t="inlineStr">
        <is>
          <t>1996-08-07</t>
        </is>
      </c>
      <c r="Y40" t="n">
        <v>81</v>
      </c>
      <c r="Z40" t="n">
        <v>60</v>
      </c>
      <c r="AA40" t="n">
        <v>85</v>
      </c>
      <c r="AB40" t="n">
        <v>1</v>
      </c>
      <c r="AC40" t="n">
        <v>2</v>
      </c>
      <c r="AD40" t="n">
        <v>10</v>
      </c>
      <c r="AE40" t="n">
        <v>11</v>
      </c>
      <c r="AF40" t="n">
        <v>1</v>
      </c>
      <c r="AG40" t="n">
        <v>1</v>
      </c>
      <c r="AH40" t="n">
        <v>3</v>
      </c>
      <c r="AI40" t="n">
        <v>3</v>
      </c>
      <c r="AJ40" t="n">
        <v>7</v>
      </c>
      <c r="AK40" t="n">
        <v>7</v>
      </c>
      <c r="AL40" t="n">
        <v>0</v>
      </c>
      <c r="AM40" t="n">
        <v>1</v>
      </c>
      <c r="AN40" t="n">
        <v>0</v>
      </c>
      <c r="AO40" t="n">
        <v>0</v>
      </c>
      <c r="AP40" t="inlineStr">
        <is>
          <t>Yes</t>
        </is>
      </c>
      <c r="AQ40" t="inlineStr">
        <is>
          <t>No</t>
        </is>
      </c>
      <c r="AR40">
        <f>HYPERLINK("http://catalog.hathitrust.org/Record/100133540","HathiTrust Record")</f>
        <v/>
      </c>
      <c r="AS40">
        <f>HYPERLINK("https://creighton-primo.hosted.exlibrisgroup.com/primo-explore/search?tab=default_tab&amp;search_scope=EVERYTHING&amp;vid=01CRU&amp;lang=en_US&amp;offset=0&amp;query=any,contains,991004809829702656","Catalog Record")</f>
        <v/>
      </c>
      <c r="AT40">
        <f>HYPERLINK("http://www.worldcat.org/oclc/5268119","WorldCat Record")</f>
        <v/>
      </c>
      <c r="AU40" t="inlineStr">
        <is>
          <t>11910723:eng</t>
        </is>
      </c>
      <c r="AV40" t="inlineStr">
        <is>
          <t>5268119</t>
        </is>
      </c>
      <c r="AW40" t="inlineStr">
        <is>
          <t>991004809829702656</t>
        </is>
      </c>
      <c r="AX40" t="inlineStr">
        <is>
          <t>991004809829702656</t>
        </is>
      </c>
      <c r="AY40" t="inlineStr">
        <is>
          <t>2258322880002656</t>
        </is>
      </c>
      <c r="AZ40" t="inlineStr">
        <is>
          <t>BOOK</t>
        </is>
      </c>
      <c r="BC40" t="inlineStr">
        <is>
          <t>32285002257896</t>
        </is>
      </c>
      <c r="BD40" t="inlineStr">
        <is>
          <t>893776471</t>
        </is>
      </c>
    </row>
    <row r="41">
      <c r="A41" t="inlineStr">
        <is>
          <t>No</t>
        </is>
      </c>
      <c r="B41" t="inlineStr">
        <is>
          <t>BF1042 .H55 1988</t>
        </is>
      </c>
      <c r="C41" t="inlineStr">
        <is>
          <t>0                      BF 1042000H  55          1988</t>
        </is>
      </c>
      <c r="D41" t="inlineStr">
        <is>
          <t>Pseudoscience and the paranormal : a critical examination of the evidence / Terence Hines.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Hines, Terence.</t>
        </is>
      </c>
      <c r="L41" t="inlineStr">
        <is>
          <t>Buffalo, N.Y. : Prometheus Books, c1988.</t>
        </is>
      </c>
      <c r="M41" t="inlineStr">
        <is>
          <t>1988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BF </t>
        </is>
      </c>
      <c r="S41" t="n">
        <v>19</v>
      </c>
      <c r="T41" t="n">
        <v>19</v>
      </c>
      <c r="U41" t="inlineStr">
        <is>
          <t>2005-10-23</t>
        </is>
      </c>
      <c r="V41" t="inlineStr">
        <is>
          <t>2005-10-23</t>
        </is>
      </c>
      <c r="W41" t="inlineStr">
        <is>
          <t>1991-12-09</t>
        </is>
      </c>
      <c r="X41" t="inlineStr">
        <is>
          <t>1991-12-09</t>
        </is>
      </c>
      <c r="Y41" t="n">
        <v>363</v>
      </c>
      <c r="Z41" t="n">
        <v>309</v>
      </c>
      <c r="AA41" t="n">
        <v>547</v>
      </c>
      <c r="AB41" t="n">
        <v>4</v>
      </c>
      <c r="AC41" t="n">
        <v>7</v>
      </c>
      <c r="AD41" t="n">
        <v>11</v>
      </c>
      <c r="AE41" t="n">
        <v>18</v>
      </c>
      <c r="AF41" t="n">
        <v>3</v>
      </c>
      <c r="AG41" t="n">
        <v>5</v>
      </c>
      <c r="AH41" t="n">
        <v>2</v>
      </c>
      <c r="AI41" t="n">
        <v>4</v>
      </c>
      <c r="AJ41" t="n">
        <v>6</v>
      </c>
      <c r="AK41" t="n">
        <v>9</v>
      </c>
      <c r="AL41" t="n">
        <v>3</v>
      </c>
      <c r="AM41" t="n">
        <v>5</v>
      </c>
      <c r="AN41" t="n">
        <v>0</v>
      </c>
      <c r="AO41" t="n">
        <v>0</v>
      </c>
      <c r="AP41" t="inlineStr">
        <is>
          <t>No</t>
        </is>
      </c>
      <c r="AQ41" t="inlineStr">
        <is>
          <t>Yes</t>
        </is>
      </c>
      <c r="AR41">
        <f>HYPERLINK("http://catalog.hathitrust.org/Record/000925120","HathiTrust Record")</f>
        <v/>
      </c>
      <c r="AS41">
        <f>HYPERLINK("https://creighton-primo.hosted.exlibrisgroup.com/primo-explore/search?tab=default_tab&amp;search_scope=EVERYTHING&amp;vid=01CRU&amp;lang=en_US&amp;offset=0&amp;query=any,contains,991001220939702656","Catalog Record")</f>
        <v/>
      </c>
      <c r="AT41">
        <f>HYPERLINK("http://www.worldcat.org/oclc/17462273","WorldCat Record")</f>
        <v/>
      </c>
      <c r="AU41" t="inlineStr">
        <is>
          <t>1035249:eng</t>
        </is>
      </c>
      <c r="AV41" t="inlineStr">
        <is>
          <t>17462273</t>
        </is>
      </c>
      <c r="AW41" t="inlineStr">
        <is>
          <t>991001220939702656</t>
        </is>
      </c>
      <c r="AX41" t="inlineStr">
        <is>
          <t>991001220939702656</t>
        </is>
      </c>
      <c r="AY41" t="inlineStr">
        <is>
          <t>2270454460002656</t>
        </is>
      </c>
      <c r="AZ41" t="inlineStr">
        <is>
          <t>BOOK</t>
        </is>
      </c>
      <c r="BB41" t="inlineStr">
        <is>
          <t>9780879754198</t>
        </is>
      </c>
      <c r="BC41" t="inlineStr">
        <is>
          <t>32285000890110</t>
        </is>
      </c>
      <c r="BD41" t="inlineStr">
        <is>
          <t>893420180</t>
        </is>
      </c>
    </row>
    <row r="42">
      <c r="A42" t="inlineStr">
        <is>
          <t>No</t>
        </is>
      </c>
      <c r="B42" t="inlineStr">
        <is>
          <t>BF1042 .H6</t>
        </is>
      </c>
      <c r="C42" t="inlineStr">
        <is>
          <t>0                      BF 1042000H  6</t>
        </is>
      </c>
      <c r="D42" t="inlineStr">
        <is>
          <t>A magician among the spirits.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Houdini, Harry, 1874-1926.</t>
        </is>
      </c>
      <c r="L42" t="inlineStr">
        <is>
          <t>New York, Harper, 1924.</t>
        </is>
      </c>
      <c r="M42" t="inlineStr">
        <is>
          <t>1924</t>
        </is>
      </c>
      <c r="N42" t="inlineStr">
        <is>
          <t>[1st ed.]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BF </t>
        </is>
      </c>
      <c r="S42" t="n">
        <v>2</v>
      </c>
      <c r="T42" t="n">
        <v>2</v>
      </c>
      <c r="U42" t="inlineStr">
        <is>
          <t>2002-10-30</t>
        </is>
      </c>
      <c r="V42" t="inlineStr">
        <is>
          <t>2002-10-30</t>
        </is>
      </c>
      <c r="W42" t="inlineStr">
        <is>
          <t>1996-08-07</t>
        </is>
      </c>
      <c r="X42" t="inlineStr">
        <is>
          <t>1996-08-07</t>
        </is>
      </c>
      <c r="Y42" t="n">
        <v>168</v>
      </c>
      <c r="Z42" t="n">
        <v>151</v>
      </c>
      <c r="AA42" t="n">
        <v>221</v>
      </c>
      <c r="AB42" t="n">
        <v>1</v>
      </c>
      <c r="AC42" t="n">
        <v>1</v>
      </c>
      <c r="AD42" t="n">
        <v>7</v>
      </c>
      <c r="AE42" t="n">
        <v>8</v>
      </c>
      <c r="AF42" t="n">
        <v>2</v>
      </c>
      <c r="AG42" t="n">
        <v>2</v>
      </c>
      <c r="AH42" t="n">
        <v>2</v>
      </c>
      <c r="AI42" t="n">
        <v>3</v>
      </c>
      <c r="AJ42" t="n">
        <v>6</v>
      </c>
      <c r="AK42" t="n">
        <v>6</v>
      </c>
      <c r="AL42" t="n">
        <v>0</v>
      </c>
      <c r="AM42" t="n">
        <v>0</v>
      </c>
      <c r="AN42" t="n">
        <v>0</v>
      </c>
      <c r="AO42" t="n">
        <v>0</v>
      </c>
      <c r="AP42" t="inlineStr">
        <is>
          <t>Yes</t>
        </is>
      </c>
      <c r="AQ42" t="inlineStr">
        <is>
          <t>No</t>
        </is>
      </c>
      <c r="AR42">
        <f>HYPERLINK("http://catalog.hathitrust.org/Record/005921543","HathiTrust Record")</f>
        <v/>
      </c>
      <c r="AS42">
        <f>HYPERLINK("https://creighton-primo.hosted.exlibrisgroup.com/primo-explore/search?tab=default_tab&amp;search_scope=EVERYTHING&amp;vid=01CRU&amp;lang=en_US&amp;offset=0&amp;query=any,contains,991003943939702656","Catalog Record")</f>
        <v/>
      </c>
      <c r="AT42">
        <f>HYPERLINK("http://www.worldcat.org/oclc/1940794","WorldCat Record")</f>
        <v/>
      </c>
      <c r="AU42" t="inlineStr">
        <is>
          <t>1379876:eng</t>
        </is>
      </c>
      <c r="AV42" t="inlineStr">
        <is>
          <t>1940794</t>
        </is>
      </c>
      <c r="AW42" t="inlineStr">
        <is>
          <t>991003943939702656</t>
        </is>
      </c>
      <c r="AX42" t="inlineStr">
        <is>
          <t>991003943939702656</t>
        </is>
      </c>
      <c r="AY42" t="inlineStr">
        <is>
          <t>2266820080002656</t>
        </is>
      </c>
      <c r="AZ42" t="inlineStr">
        <is>
          <t>BOOK</t>
        </is>
      </c>
      <c r="BC42" t="inlineStr">
        <is>
          <t>32285002257920</t>
        </is>
      </c>
      <c r="BD42" t="inlineStr">
        <is>
          <t>893228711</t>
        </is>
      </c>
    </row>
    <row r="43">
      <c r="A43" t="inlineStr">
        <is>
          <t>No</t>
        </is>
      </c>
      <c r="B43" t="inlineStr">
        <is>
          <t>BF1042 .H96 1989</t>
        </is>
      </c>
      <c r="C43" t="inlineStr">
        <is>
          <t>0                      BF 1042000H  96          1989</t>
        </is>
      </c>
      <c r="D43" t="inlineStr">
        <is>
          <t>The elusive quarry : a scientific appraisal of psychical research / Ray Hyman.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Hyman, Ray.</t>
        </is>
      </c>
      <c r="L43" t="inlineStr">
        <is>
          <t>Buffalo, N.Y. : Prometheus Books, c1989.</t>
        </is>
      </c>
      <c r="M43" t="inlineStr">
        <is>
          <t>1989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BF </t>
        </is>
      </c>
      <c r="S43" t="n">
        <v>5</v>
      </c>
      <c r="T43" t="n">
        <v>5</v>
      </c>
      <c r="U43" t="inlineStr">
        <is>
          <t>1996-03-12</t>
        </is>
      </c>
      <c r="V43" t="inlineStr">
        <is>
          <t>1996-03-12</t>
        </is>
      </c>
      <c r="W43" t="inlineStr">
        <is>
          <t>1992-02-21</t>
        </is>
      </c>
      <c r="X43" t="inlineStr">
        <is>
          <t>1992-02-21</t>
        </is>
      </c>
      <c r="Y43" t="n">
        <v>407</v>
      </c>
      <c r="Z43" t="n">
        <v>356</v>
      </c>
      <c r="AA43" t="n">
        <v>358</v>
      </c>
      <c r="AB43" t="n">
        <v>3</v>
      </c>
      <c r="AC43" t="n">
        <v>3</v>
      </c>
      <c r="AD43" t="n">
        <v>12</v>
      </c>
      <c r="AE43" t="n">
        <v>12</v>
      </c>
      <c r="AF43" t="n">
        <v>3</v>
      </c>
      <c r="AG43" t="n">
        <v>3</v>
      </c>
      <c r="AH43" t="n">
        <v>3</v>
      </c>
      <c r="AI43" t="n">
        <v>3</v>
      </c>
      <c r="AJ43" t="n">
        <v>6</v>
      </c>
      <c r="AK43" t="n">
        <v>6</v>
      </c>
      <c r="AL43" t="n">
        <v>2</v>
      </c>
      <c r="AM43" t="n">
        <v>2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HYPERLINK("http://catalog.hathitrust.org/Record/001828541","HathiTrust Record")</f>
        <v/>
      </c>
      <c r="AS43">
        <f>HYPERLINK("https://creighton-primo.hosted.exlibrisgroup.com/primo-explore/search?tab=default_tab&amp;search_scope=EVERYTHING&amp;vid=01CRU&amp;lang=en_US&amp;offset=0&amp;query=any,contains,991001460799702656","Catalog Record")</f>
        <v/>
      </c>
      <c r="AT43">
        <f>HYPERLINK("http://www.worldcat.org/oclc/19455101","WorldCat Record")</f>
        <v/>
      </c>
      <c r="AU43" t="inlineStr">
        <is>
          <t>930264:eng</t>
        </is>
      </c>
      <c r="AV43" t="inlineStr">
        <is>
          <t>19455101</t>
        </is>
      </c>
      <c r="AW43" t="inlineStr">
        <is>
          <t>991001460799702656</t>
        </is>
      </c>
      <c r="AX43" t="inlineStr">
        <is>
          <t>991001460799702656</t>
        </is>
      </c>
      <c r="AY43" t="inlineStr">
        <is>
          <t>2270780540002656</t>
        </is>
      </c>
      <c r="AZ43" t="inlineStr">
        <is>
          <t>BOOK</t>
        </is>
      </c>
      <c r="BB43" t="inlineStr">
        <is>
          <t>9780879755041</t>
        </is>
      </c>
      <c r="BC43" t="inlineStr">
        <is>
          <t>32285000935303</t>
        </is>
      </c>
      <c r="BD43" t="inlineStr">
        <is>
          <t>893509636</t>
        </is>
      </c>
    </row>
    <row r="44">
      <c r="A44" t="inlineStr">
        <is>
          <t>No</t>
        </is>
      </c>
      <c r="B44" t="inlineStr">
        <is>
          <t>BF105 .G87 1976</t>
        </is>
      </c>
      <c r="C44" t="inlineStr">
        <is>
          <t>0                      BF 0105000G  87          1976</t>
        </is>
      </c>
      <c r="D44" t="inlineStr">
        <is>
          <t>Even the rat was white : a historical view of psychology / Robert V. Guthrie.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Guthrie, Robert V.</t>
        </is>
      </c>
      <c r="L44" t="inlineStr">
        <is>
          <t>New York : Harper &amp; Row, c1976.</t>
        </is>
      </c>
      <c r="M44" t="inlineStr">
        <is>
          <t>1976</t>
        </is>
      </c>
      <c r="O44" t="inlineStr">
        <is>
          <t>eng</t>
        </is>
      </c>
      <c r="P44" t="inlineStr">
        <is>
          <t>nyu</t>
        </is>
      </c>
      <c r="R44" t="inlineStr">
        <is>
          <t xml:space="preserve">BF </t>
        </is>
      </c>
      <c r="S44" t="n">
        <v>9</v>
      </c>
      <c r="T44" t="n">
        <v>9</v>
      </c>
      <c r="U44" t="inlineStr">
        <is>
          <t>2004-04-12</t>
        </is>
      </c>
      <c r="V44" t="inlineStr">
        <is>
          <t>2004-04-12</t>
        </is>
      </c>
      <c r="W44" t="inlineStr">
        <is>
          <t>1990-08-09</t>
        </is>
      </c>
      <c r="X44" t="inlineStr">
        <is>
          <t>1990-08-09</t>
        </is>
      </c>
      <c r="Y44" t="n">
        <v>424</v>
      </c>
      <c r="Z44" t="n">
        <v>352</v>
      </c>
      <c r="AA44" t="n">
        <v>819</v>
      </c>
      <c r="AB44" t="n">
        <v>4</v>
      </c>
      <c r="AC44" t="n">
        <v>7</v>
      </c>
      <c r="AD44" t="n">
        <v>17</v>
      </c>
      <c r="AE44" t="n">
        <v>37</v>
      </c>
      <c r="AF44" t="n">
        <v>6</v>
      </c>
      <c r="AG44" t="n">
        <v>14</v>
      </c>
      <c r="AH44" t="n">
        <v>2</v>
      </c>
      <c r="AI44" t="n">
        <v>9</v>
      </c>
      <c r="AJ44" t="n">
        <v>7</v>
      </c>
      <c r="AK44" t="n">
        <v>17</v>
      </c>
      <c r="AL44" t="n">
        <v>3</v>
      </c>
      <c r="AM44" t="n">
        <v>6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HYPERLINK("http://catalog.hathitrust.org/Record/000040710","HathiTrust Record")</f>
        <v/>
      </c>
      <c r="AS44">
        <f>HYPERLINK("https://creighton-primo.hosted.exlibrisgroup.com/primo-explore/search?tab=default_tab&amp;search_scope=EVERYTHING&amp;vid=01CRU&amp;lang=en_US&amp;offset=0&amp;query=any,contains,991003836599702656","Catalog Record")</f>
        <v/>
      </c>
      <c r="AT44">
        <f>HYPERLINK("http://www.worldcat.org/oclc/1602138","WorldCat Record")</f>
        <v/>
      </c>
      <c r="AU44" t="inlineStr">
        <is>
          <t>403575:eng</t>
        </is>
      </c>
      <c r="AV44" t="inlineStr">
        <is>
          <t>1602138</t>
        </is>
      </c>
      <c r="AW44" t="inlineStr">
        <is>
          <t>991003836599702656</t>
        </is>
      </c>
      <c r="AX44" t="inlineStr">
        <is>
          <t>991003836599702656</t>
        </is>
      </c>
      <c r="AY44" t="inlineStr">
        <is>
          <t>2266836840002656</t>
        </is>
      </c>
      <c r="AZ44" t="inlineStr">
        <is>
          <t>BOOK</t>
        </is>
      </c>
      <c r="BB44" t="inlineStr">
        <is>
          <t>9780060425616</t>
        </is>
      </c>
      <c r="BC44" t="inlineStr">
        <is>
          <t>32285000280569</t>
        </is>
      </c>
      <c r="BD44" t="inlineStr">
        <is>
          <t>893525281</t>
        </is>
      </c>
    </row>
    <row r="45">
      <c r="A45" t="inlineStr">
        <is>
          <t>No</t>
        </is>
      </c>
      <c r="B45" t="inlineStr">
        <is>
          <t>BF105 .W6 1964</t>
        </is>
      </c>
      <c r="C45" t="inlineStr">
        <is>
          <t>0                      BF 0105000W  6           1964</t>
        </is>
      </c>
      <c r="D45" t="inlineStr">
        <is>
          <t>Contemporary schools of psychology / by Robert S. Woodworth in collaboration with Mary R. Sheehan.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Woodworth, Robert Sessions, 1869-1962.</t>
        </is>
      </c>
      <c r="L45" t="inlineStr">
        <is>
          <t>New York : Ronald Press Co., [1964]</t>
        </is>
      </c>
      <c r="M45" t="inlineStr">
        <is>
          <t>1964</t>
        </is>
      </c>
      <c r="N45" t="inlineStr">
        <is>
          <t>3d ed.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BF </t>
        </is>
      </c>
      <c r="S45" t="n">
        <v>1</v>
      </c>
      <c r="T45" t="n">
        <v>1</v>
      </c>
      <c r="U45" t="inlineStr">
        <is>
          <t>1995-04-25</t>
        </is>
      </c>
      <c r="V45" t="inlineStr">
        <is>
          <t>1995-04-25</t>
        </is>
      </c>
      <c r="W45" t="inlineStr">
        <is>
          <t>1993-02-11</t>
        </is>
      </c>
      <c r="X45" t="inlineStr">
        <is>
          <t>1993-02-11</t>
        </is>
      </c>
      <c r="Y45" t="n">
        <v>818</v>
      </c>
      <c r="Z45" t="n">
        <v>720</v>
      </c>
      <c r="AA45" t="n">
        <v>1113</v>
      </c>
      <c r="AB45" t="n">
        <v>4</v>
      </c>
      <c r="AC45" t="n">
        <v>5</v>
      </c>
      <c r="AD45" t="n">
        <v>24</v>
      </c>
      <c r="AE45" t="n">
        <v>42</v>
      </c>
      <c r="AF45" t="n">
        <v>10</v>
      </c>
      <c r="AG45" t="n">
        <v>18</v>
      </c>
      <c r="AH45" t="n">
        <v>3</v>
      </c>
      <c r="AI45" t="n">
        <v>6</v>
      </c>
      <c r="AJ45" t="n">
        <v>15</v>
      </c>
      <c r="AK45" t="n">
        <v>23</v>
      </c>
      <c r="AL45" t="n">
        <v>3</v>
      </c>
      <c r="AM45" t="n">
        <v>4</v>
      </c>
      <c r="AN45" t="n">
        <v>0</v>
      </c>
      <c r="AO45" t="n">
        <v>0</v>
      </c>
      <c r="AP45" t="inlineStr">
        <is>
          <t>No</t>
        </is>
      </c>
      <c r="AQ45" t="inlineStr">
        <is>
          <t>Yes</t>
        </is>
      </c>
      <c r="AR45">
        <f>HYPERLINK("http://catalog.hathitrust.org/Record/000581817","HathiTrust Record")</f>
        <v/>
      </c>
      <c r="AS45">
        <f>HYPERLINK("https://creighton-primo.hosted.exlibrisgroup.com/primo-explore/search?tab=default_tab&amp;search_scope=EVERYTHING&amp;vid=01CRU&amp;lang=en_US&amp;offset=0&amp;query=any,contains,991001204659702656","Catalog Record")</f>
        <v/>
      </c>
      <c r="AT45">
        <f>HYPERLINK("http://www.worldcat.org/oclc/191706","WorldCat Record")</f>
        <v/>
      </c>
      <c r="AU45" t="inlineStr">
        <is>
          <t>1349166:eng</t>
        </is>
      </c>
      <c r="AV45" t="inlineStr">
        <is>
          <t>191706</t>
        </is>
      </c>
      <c r="AW45" t="inlineStr">
        <is>
          <t>991001204659702656</t>
        </is>
      </c>
      <c r="AX45" t="inlineStr">
        <is>
          <t>991001204659702656</t>
        </is>
      </c>
      <c r="AY45" t="inlineStr">
        <is>
          <t>2258945290002656</t>
        </is>
      </c>
      <c r="AZ45" t="inlineStr">
        <is>
          <t>BOOK</t>
        </is>
      </c>
      <c r="BC45" t="inlineStr">
        <is>
          <t>32285001500759</t>
        </is>
      </c>
      <c r="BD45" t="inlineStr">
        <is>
          <t>893334150</t>
        </is>
      </c>
    </row>
    <row r="46">
      <c r="A46" t="inlineStr">
        <is>
          <t>No</t>
        </is>
      </c>
      <c r="B46" t="inlineStr">
        <is>
          <t>BF1071 .H34</t>
        </is>
      </c>
      <c r="C46" t="inlineStr">
        <is>
          <t>0                      BF 1071000H  34</t>
        </is>
      </c>
      <c r="D46" t="inlineStr">
        <is>
          <t>The complete book of sleep : how your nights affect your days / Dianne Hales.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Hales, Dianne, 1950-</t>
        </is>
      </c>
      <c r="L46" t="inlineStr">
        <is>
          <t>Reading, Mass. : Addison-Wesley Pub. Co., 1981.</t>
        </is>
      </c>
      <c r="M46" t="inlineStr">
        <is>
          <t>1981</t>
        </is>
      </c>
      <c r="O46" t="inlineStr">
        <is>
          <t>eng</t>
        </is>
      </c>
      <c r="P46" t="inlineStr">
        <is>
          <t>mau</t>
        </is>
      </c>
      <c r="R46" t="inlineStr">
        <is>
          <t xml:space="preserve">BF </t>
        </is>
      </c>
      <c r="S46" t="n">
        <v>41</v>
      </c>
      <c r="T46" t="n">
        <v>41</v>
      </c>
      <c r="U46" t="inlineStr">
        <is>
          <t>2007-09-26</t>
        </is>
      </c>
      <c r="V46" t="inlineStr">
        <is>
          <t>2007-09-26</t>
        </is>
      </c>
      <c r="W46" t="inlineStr">
        <is>
          <t>1990-02-09</t>
        </is>
      </c>
      <c r="X46" t="inlineStr">
        <is>
          <t>1990-02-09</t>
        </is>
      </c>
      <c r="Y46" t="n">
        <v>374</v>
      </c>
      <c r="Z46" t="n">
        <v>348</v>
      </c>
      <c r="AA46" t="n">
        <v>355</v>
      </c>
      <c r="AB46" t="n">
        <v>4</v>
      </c>
      <c r="AC46" t="n">
        <v>4</v>
      </c>
      <c r="AD46" t="n">
        <v>3</v>
      </c>
      <c r="AE46" t="n">
        <v>3</v>
      </c>
      <c r="AF46" t="n">
        <v>3</v>
      </c>
      <c r="AG46" t="n">
        <v>3</v>
      </c>
      <c r="AH46" t="n">
        <v>0</v>
      </c>
      <c r="AI46" t="n">
        <v>0</v>
      </c>
      <c r="AJ46" t="n">
        <v>1</v>
      </c>
      <c r="AK46" t="n">
        <v>1</v>
      </c>
      <c r="AL46" t="n">
        <v>0</v>
      </c>
      <c r="AM46" t="n">
        <v>0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HYPERLINK("http://catalog.hathitrust.org/Record/102219543","HathiTrust Record")</f>
        <v/>
      </c>
      <c r="AS46">
        <f>HYPERLINK("https://creighton-primo.hosted.exlibrisgroup.com/primo-explore/search?tab=default_tab&amp;search_scope=EVERYTHING&amp;vid=01CRU&amp;lang=en_US&amp;offset=0&amp;query=any,contains,991005088599702656","Catalog Record")</f>
        <v/>
      </c>
      <c r="AT46">
        <f>HYPERLINK("http://www.worldcat.org/oclc/7203606","WorldCat Record")</f>
        <v/>
      </c>
      <c r="AU46" t="inlineStr">
        <is>
          <t>416855:eng</t>
        </is>
      </c>
      <c r="AV46" t="inlineStr">
        <is>
          <t>7203606</t>
        </is>
      </c>
      <c r="AW46" t="inlineStr">
        <is>
          <t>991005088599702656</t>
        </is>
      </c>
      <c r="AX46" t="inlineStr">
        <is>
          <t>991005088599702656</t>
        </is>
      </c>
      <c r="AY46" t="inlineStr">
        <is>
          <t>2265438630002656</t>
        </is>
      </c>
      <c r="AZ46" t="inlineStr">
        <is>
          <t>BOOK</t>
        </is>
      </c>
      <c r="BB46" t="inlineStr">
        <is>
          <t>9780201038453</t>
        </is>
      </c>
      <c r="BC46" t="inlineStr">
        <is>
          <t>32285000034958</t>
        </is>
      </c>
      <c r="BD46" t="inlineStr">
        <is>
          <t>893870490</t>
        </is>
      </c>
    </row>
    <row r="47">
      <c r="A47" t="inlineStr">
        <is>
          <t>No</t>
        </is>
      </c>
      <c r="B47" t="inlineStr">
        <is>
          <t>BF1073.S58 A74 1981</t>
        </is>
      </c>
      <c r="C47" t="inlineStr">
        <is>
          <t>0                      BF 1073000S  58                 A  74          1981</t>
        </is>
      </c>
      <c r="D47" t="inlineStr">
        <is>
          <t>Sleep-talking : psychology and psychophysiology / Arthur M. Arkin.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Arkin, Arthur M.</t>
        </is>
      </c>
      <c r="L47" t="inlineStr">
        <is>
          <t>Hillsdale, N.J. : L. Erlbaum Associates, 1981.</t>
        </is>
      </c>
      <c r="M47" t="inlineStr">
        <is>
          <t>1981</t>
        </is>
      </c>
      <c r="O47" t="inlineStr">
        <is>
          <t>eng</t>
        </is>
      </c>
      <c r="P47" t="inlineStr">
        <is>
          <t>nju</t>
        </is>
      </c>
      <c r="R47" t="inlineStr">
        <is>
          <t xml:space="preserve">BF </t>
        </is>
      </c>
      <c r="S47" t="n">
        <v>12</v>
      </c>
      <c r="T47" t="n">
        <v>12</v>
      </c>
      <c r="U47" t="inlineStr">
        <is>
          <t>1999-10-01</t>
        </is>
      </c>
      <c r="V47" t="inlineStr">
        <is>
          <t>1999-10-01</t>
        </is>
      </c>
      <c r="W47" t="inlineStr">
        <is>
          <t>1993-04-12</t>
        </is>
      </c>
      <c r="X47" t="inlineStr">
        <is>
          <t>1993-04-12</t>
        </is>
      </c>
      <c r="Y47" t="n">
        <v>299</v>
      </c>
      <c r="Z47" t="n">
        <v>238</v>
      </c>
      <c r="AA47" t="n">
        <v>255</v>
      </c>
      <c r="AB47" t="n">
        <v>2</v>
      </c>
      <c r="AC47" t="n">
        <v>2</v>
      </c>
      <c r="AD47" t="n">
        <v>10</v>
      </c>
      <c r="AE47" t="n">
        <v>10</v>
      </c>
      <c r="AF47" t="n">
        <v>4</v>
      </c>
      <c r="AG47" t="n">
        <v>4</v>
      </c>
      <c r="AH47" t="n">
        <v>1</v>
      </c>
      <c r="AI47" t="n">
        <v>1</v>
      </c>
      <c r="AJ47" t="n">
        <v>7</v>
      </c>
      <c r="AK47" t="n">
        <v>7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HYPERLINK("https://creighton-primo.hosted.exlibrisgroup.com/primo-explore/search?tab=default_tab&amp;search_scope=EVERYTHING&amp;vid=01CRU&amp;lang=en_US&amp;offset=0&amp;query=any,contains,991005112629702656","Catalog Record")</f>
        <v/>
      </c>
      <c r="AT47">
        <f>HYPERLINK("http://www.worldcat.org/oclc/7459521","WorldCat Record")</f>
        <v/>
      </c>
      <c r="AU47" t="inlineStr">
        <is>
          <t>279717963:eng</t>
        </is>
      </c>
      <c r="AV47" t="inlineStr">
        <is>
          <t>7459521</t>
        </is>
      </c>
      <c r="AW47" t="inlineStr">
        <is>
          <t>991005112629702656</t>
        </is>
      </c>
      <c r="AX47" t="inlineStr">
        <is>
          <t>991005112629702656</t>
        </is>
      </c>
      <c r="AY47" t="inlineStr">
        <is>
          <t>2255330180002656</t>
        </is>
      </c>
      <c r="AZ47" t="inlineStr">
        <is>
          <t>BOOK</t>
        </is>
      </c>
      <c r="BB47" t="inlineStr">
        <is>
          <t>9780898590319</t>
        </is>
      </c>
      <c r="BC47" t="inlineStr">
        <is>
          <t>32285001616472</t>
        </is>
      </c>
      <c r="BD47" t="inlineStr">
        <is>
          <t>893594487</t>
        </is>
      </c>
    </row>
    <row r="48">
      <c r="A48" t="inlineStr">
        <is>
          <t>No</t>
        </is>
      </c>
      <c r="B48" t="inlineStr">
        <is>
          <t>BF1075 .L48</t>
        </is>
      </c>
      <c r="C48" t="inlineStr">
        <is>
          <t>0                      BF 1075000L  48</t>
        </is>
      </c>
      <c r="D48" t="inlineStr">
        <is>
          <t>The interpretation of dreams and portents / Naphtali Lewis.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Lewis, Naphtali.</t>
        </is>
      </c>
      <c r="L48" t="inlineStr">
        <is>
          <t>Toronto ; Sarasota : Samuel Stevens, Hakkert &amp; Company, 1976</t>
        </is>
      </c>
      <c r="M48" t="inlineStr">
        <is>
          <t>1976</t>
        </is>
      </c>
      <c r="O48" t="inlineStr">
        <is>
          <t>eng</t>
        </is>
      </c>
      <c r="P48" t="inlineStr">
        <is>
          <t>xxc</t>
        </is>
      </c>
      <c r="Q48" t="inlineStr">
        <is>
          <t>Aspects of antiquity</t>
        </is>
      </c>
      <c r="R48" t="inlineStr">
        <is>
          <t xml:space="preserve">BF </t>
        </is>
      </c>
      <c r="S48" t="n">
        <v>24</v>
      </c>
      <c r="T48" t="n">
        <v>24</v>
      </c>
      <c r="U48" t="inlineStr">
        <is>
          <t>2006-11-21</t>
        </is>
      </c>
      <c r="V48" t="inlineStr">
        <is>
          <t>2006-11-21</t>
        </is>
      </c>
      <c r="W48" t="inlineStr">
        <is>
          <t>1990-02-26</t>
        </is>
      </c>
      <c r="X48" t="inlineStr">
        <is>
          <t>1990-02-26</t>
        </is>
      </c>
      <c r="Y48" t="n">
        <v>240</v>
      </c>
      <c r="Z48" t="n">
        <v>182</v>
      </c>
      <c r="AA48" t="n">
        <v>184</v>
      </c>
      <c r="AB48" t="n">
        <v>1</v>
      </c>
      <c r="AC48" t="n">
        <v>1</v>
      </c>
      <c r="AD48" t="n">
        <v>9</v>
      </c>
      <c r="AE48" t="n">
        <v>9</v>
      </c>
      <c r="AF48" t="n">
        <v>1</v>
      </c>
      <c r="AG48" t="n">
        <v>1</v>
      </c>
      <c r="AH48" t="n">
        <v>3</v>
      </c>
      <c r="AI48" t="n">
        <v>3</v>
      </c>
      <c r="AJ48" t="n">
        <v>8</v>
      </c>
      <c r="AK48" t="n">
        <v>8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HYPERLINK("http://catalog.hathitrust.org/Record/000172789","HathiTrust Record")</f>
        <v/>
      </c>
      <c r="AS48">
        <f>HYPERLINK("https://creighton-primo.hosted.exlibrisgroup.com/primo-explore/search?tab=default_tab&amp;search_scope=EVERYTHING&amp;vid=01CRU&amp;lang=en_US&amp;offset=0&amp;query=any,contains,991004240879702656","Catalog Record")</f>
        <v/>
      </c>
      <c r="AT48">
        <f>HYPERLINK("http://www.worldcat.org/oclc/7694060","WorldCat Record")</f>
        <v/>
      </c>
      <c r="AU48" t="inlineStr">
        <is>
          <t>545808:eng</t>
        </is>
      </c>
      <c r="AV48" t="inlineStr">
        <is>
          <t>7694060</t>
        </is>
      </c>
      <c r="AW48" t="inlineStr">
        <is>
          <t>991004240879702656</t>
        </is>
      </c>
      <c r="AX48" t="inlineStr">
        <is>
          <t>991004240879702656</t>
        </is>
      </c>
      <c r="AY48" t="inlineStr">
        <is>
          <t>2269947760002656</t>
        </is>
      </c>
      <c r="AZ48" t="inlineStr">
        <is>
          <t>BOOK</t>
        </is>
      </c>
      <c r="BB48" t="inlineStr">
        <is>
          <t>9780888665713</t>
        </is>
      </c>
      <c r="BC48" t="inlineStr">
        <is>
          <t>32285000070044</t>
        </is>
      </c>
      <c r="BD48" t="inlineStr">
        <is>
          <t>893349778</t>
        </is>
      </c>
    </row>
    <row r="49">
      <c r="A49" t="inlineStr">
        <is>
          <t>No</t>
        </is>
      </c>
      <c r="B49" t="inlineStr">
        <is>
          <t>BF1078 .F84 1951</t>
        </is>
      </c>
      <c r="C49" t="inlineStr">
        <is>
          <t>0                      BF 1078000F  84          1951</t>
        </is>
      </c>
      <c r="D49" t="inlineStr">
        <is>
          <t>The forgotten language; an introduction to the understanding of dreams, fairy tales, and myths.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Fromm, Erich, 1900-1980.</t>
        </is>
      </c>
      <c r="L49" t="inlineStr">
        <is>
          <t>New York, Rinehart [1951]</t>
        </is>
      </c>
      <c r="M49" t="inlineStr">
        <is>
          <t>1951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BF </t>
        </is>
      </c>
      <c r="S49" t="n">
        <v>16</v>
      </c>
      <c r="T49" t="n">
        <v>16</v>
      </c>
      <c r="U49" t="inlineStr">
        <is>
          <t>2002-09-29</t>
        </is>
      </c>
      <c r="V49" t="inlineStr">
        <is>
          <t>2002-09-29</t>
        </is>
      </c>
      <c r="W49" t="inlineStr">
        <is>
          <t>1991-12-18</t>
        </is>
      </c>
      <c r="X49" t="inlineStr">
        <is>
          <t>1991-12-18</t>
        </is>
      </c>
      <c r="Y49" t="n">
        <v>1162</v>
      </c>
      <c r="Z49" t="n">
        <v>1069</v>
      </c>
      <c r="AA49" t="n">
        <v>1895</v>
      </c>
      <c r="AB49" t="n">
        <v>11</v>
      </c>
      <c r="AC49" t="n">
        <v>19</v>
      </c>
      <c r="AD49" t="n">
        <v>36</v>
      </c>
      <c r="AE49" t="n">
        <v>59</v>
      </c>
      <c r="AF49" t="n">
        <v>12</v>
      </c>
      <c r="AG49" t="n">
        <v>24</v>
      </c>
      <c r="AH49" t="n">
        <v>6</v>
      </c>
      <c r="AI49" t="n">
        <v>7</v>
      </c>
      <c r="AJ49" t="n">
        <v>14</v>
      </c>
      <c r="AK49" t="n">
        <v>22</v>
      </c>
      <c r="AL49" t="n">
        <v>9</v>
      </c>
      <c r="AM49" t="n">
        <v>15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HYPERLINK("http://catalog.hathitrust.org/Record/000586019","HathiTrust Record")</f>
        <v/>
      </c>
      <c r="AS49">
        <f>HYPERLINK("https://creighton-primo.hosted.exlibrisgroup.com/primo-explore/search?tab=default_tab&amp;search_scope=EVERYTHING&amp;vid=01CRU&amp;lang=en_US&amp;offset=0&amp;query=any,contains,991001326569702656","Catalog Record")</f>
        <v/>
      </c>
      <c r="AT49">
        <f>HYPERLINK("http://www.worldcat.org/oclc/221014","WorldCat Record")</f>
        <v/>
      </c>
      <c r="AU49" t="inlineStr">
        <is>
          <t>1150998095:eng</t>
        </is>
      </c>
      <c r="AV49" t="inlineStr">
        <is>
          <t>221014</t>
        </is>
      </c>
      <c r="AW49" t="inlineStr">
        <is>
          <t>991001326569702656</t>
        </is>
      </c>
      <c r="AX49" t="inlineStr">
        <is>
          <t>991001326569702656</t>
        </is>
      </c>
      <c r="AY49" t="inlineStr">
        <is>
          <t>2258270510002656</t>
        </is>
      </c>
      <c r="AZ49" t="inlineStr">
        <is>
          <t>BOOK</t>
        </is>
      </c>
      <c r="BC49" t="inlineStr">
        <is>
          <t>32285000896406</t>
        </is>
      </c>
      <c r="BD49" t="inlineStr">
        <is>
          <t>893315707</t>
        </is>
      </c>
    </row>
    <row r="50">
      <c r="A50" t="inlineStr">
        <is>
          <t>No</t>
        </is>
      </c>
      <c r="B50" t="inlineStr">
        <is>
          <t>BF1078 .G17 1975</t>
        </is>
      </c>
      <c r="C50" t="inlineStr">
        <is>
          <t>0                      BF 1078000G  17          1975</t>
        </is>
      </c>
      <c r="D50" t="inlineStr">
        <is>
          <t>Creative dreaming / [by] Patricia L. Garfield.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Garfield, Patricia L.</t>
        </is>
      </c>
      <c r="L50" t="inlineStr">
        <is>
          <t>New York : Simon and Schuster, [1975, c1974]</t>
        </is>
      </c>
      <c r="M50" t="inlineStr">
        <is>
          <t>1975</t>
        </is>
      </c>
      <c r="O50" t="inlineStr">
        <is>
          <t>eng</t>
        </is>
      </c>
      <c r="P50" t="inlineStr">
        <is>
          <t>nyu</t>
        </is>
      </c>
      <c r="R50" t="inlineStr">
        <is>
          <t xml:space="preserve">BF </t>
        </is>
      </c>
      <c r="S50" t="n">
        <v>22</v>
      </c>
      <c r="T50" t="n">
        <v>22</v>
      </c>
      <c r="U50" t="inlineStr">
        <is>
          <t>2007-09-26</t>
        </is>
      </c>
      <c r="V50" t="inlineStr">
        <is>
          <t>2007-09-26</t>
        </is>
      </c>
      <c r="W50" t="inlineStr">
        <is>
          <t>1995-12-21</t>
        </is>
      </c>
      <c r="X50" t="inlineStr">
        <is>
          <t>1995-12-21</t>
        </is>
      </c>
      <c r="Y50" t="n">
        <v>331</v>
      </c>
      <c r="Z50" t="n">
        <v>311</v>
      </c>
      <c r="AA50" t="n">
        <v>569</v>
      </c>
      <c r="AB50" t="n">
        <v>5</v>
      </c>
      <c r="AC50" t="n">
        <v>6</v>
      </c>
      <c r="AD50" t="n">
        <v>9</v>
      </c>
      <c r="AE50" t="n">
        <v>12</v>
      </c>
      <c r="AF50" t="n">
        <v>2</v>
      </c>
      <c r="AG50" t="n">
        <v>2</v>
      </c>
      <c r="AH50" t="n">
        <v>1</v>
      </c>
      <c r="AI50" t="n">
        <v>1</v>
      </c>
      <c r="AJ50" t="n">
        <v>6</v>
      </c>
      <c r="AK50" t="n">
        <v>9</v>
      </c>
      <c r="AL50" t="n">
        <v>2</v>
      </c>
      <c r="AM50" t="n">
        <v>2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HYPERLINK("https://creighton-primo.hosted.exlibrisgroup.com/primo-explore/search?tab=default_tab&amp;search_scope=EVERYTHING&amp;vid=01CRU&amp;lang=en_US&amp;offset=0&amp;query=any,contains,991003468189702656","Catalog Record")</f>
        <v/>
      </c>
      <c r="AT50">
        <f>HYPERLINK("http://www.worldcat.org/oclc/1009478","WorldCat Record")</f>
        <v/>
      </c>
      <c r="AU50" t="inlineStr">
        <is>
          <t>1929263:eng</t>
        </is>
      </c>
      <c r="AV50" t="inlineStr">
        <is>
          <t>1009478</t>
        </is>
      </c>
      <c r="AW50" t="inlineStr">
        <is>
          <t>991003468189702656</t>
        </is>
      </c>
      <c r="AX50" t="inlineStr">
        <is>
          <t>991003468189702656</t>
        </is>
      </c>
      <c r="AY50" t="inlineStr">
        <is>
          <t>2263767790002656</t>
        </is>
      </c>
      <c r="AZ50" t="inlineStr">
        <is>
          <t>BOOK</t>
        </is>
      </c>
      <c r="BB50" t="inlineStr">
        <is>
          <t>9780671219031</t>
        </is>
      </c>
      <c r="BC50" t="inlineStr">
        <is>
          <t>32285002120326</t>
        </is>
      </c>
      <c r="BD50" t="inlineStr">
        <is>
          <t>893774745</t>
        </is>
      </c>
    </row>
    <row r="51">
      <c r="A51" t="inlineStr">
        <is>
          <t>No</t>
        </is>
      </c>
      <c r="B51" t="inlineStr">
        <is>
          <t>BF1078 .M6</t>
        </is>
      </c>
      <c r="C51" t="inlineStr">
        <is>
          <t>0                      BF 1078000M  6</t>
        </is>
      </c>
      <c r="D51" t="inlineStr">
        <is>
          <t>The hypnotic investigation of dreams / [by] C. Scott Moss.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Moss, Claude Scott, 1924-</t>
        </is>
      </c>
      <c r="L51" t="inlineStr">
        <is>
          <t>New York : Wiley, [1967]</t>
        </is>
      </c>
      <c r="M51" t="inlineStr">
        <is>
          <t>1967</t>
        </is>
      </c>
      <c r="O51" t="inlineStr">
        <is>
          <t>eng</t>
        </is>
      </c>
      <c r="P51" t="inlineStr">
        <is>
          <t>nyu</t>
        </is>
      </c>
      <c r="R51" t="inlineStr">
        <is>
          <t xml:space="preserve">BF </t>
        </is>
      </c>
      <c r="S51" t="n">
        <v>9</v>
      </c>
      <c r="T51" t="n">
        <v>9</v>
      </c>
      <c r="U51" t="inlineStr">
        <is>
          <t>1998-09-30</t>
        </is>
      </c>
      <c r="V51" t="inlineStr">
        <is>
          <t>1998-09-30</t>
        </is>
      </c>
      <c r="W51" t="inlineStr">
        <is>
          <t>1992-04-13</t>
        </is>
      </c>
      <c r="X51" t="inlineStr">
        <is>
          <t>1992-04-13</t>
        </is>
      </c>
      <c r="Y51" t="n">
        <v>552</v>
      </c>
      <c r="Z51" t="n">
        <v>466</v>
      </c>
      <c r="AA51" t="n">
        <v>468</v>
      </c>
      <c r="AB51" t="n">
        <v>5</v>
      </c>
      <c r="AC51" t="n">
        <v>5</v>
      </c>
      <c r="AD51" t="n">
        <v>27</v>
      </c>
      <c r="AE51" t="n">
        <v>27</v>
      </c>
      <c r="AF51" t="n">
        <v>11</v>
      </c>
      <c r="AG51" t="n">
        <v>11</v>
      </c>
      <c r="AH51" t="n">
        <v>5</v>
      </c>
      <c r="AI51" t="n">
        <v>5</v>
      </c>
      <c r="AJ51" t="n">
        <v>12</v>
      </c>
      <c r="AK51" t="n">
        <v>12</v>
      </c>
      <c r="AL51" t="n">
        <v>4</v>
      </c>
      <c r="AM51" t="n">
        <v>4</v>
      </c>
      <c r="AN51" t="n">
        <v>0</v>
      </c>
      <c r="AO51" t="n">
        <v>0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HYPERLINK("http://catalog.hathitrust.org/Record/000474237","HathiTrust Record")</f>
        <v/>
      </c>
      <c r="AS51">
        <f>HYPERLINK("https://creighton-primo.hosted.exlibrisgroup.com/primo-explore/search?tab=default_tab&amp;search_scope=EVERYTHING&amp;vid=01CRU&amp;lang=en_US&amp;offset=0&amp;query=any,contains,991005253829702656","Catalog Record")</f>
        <v/>
      </c>
      <c r="AT51">
        <f>HYPERLINK("http://www.worldcat.org/oclc/221015","WorldCat Record")</f>
        <v/>
      </c>
      <c r="AU51" t="inlineStr">
        <is>
          <t>1323457:eng</t>
        </is>
      </c>
      <c r="AV51" t="inlineStr">
        <is>
          <t>221015</t>
        </is>
      </c>
      <c r="AW51" t="inlineStr">
        <is>
          <t>991005253829702656</t>
        </is>
      </c>
      <c r="AX51" t="inlineStr">
        <is>
          <t>991005253829702656</t>
        </is>
      </c>
      <c r="AY51" t="inlineStr">
        <is>
          <t>2258270670002656</t>
        </is>
      </c>
      <c r="AZ51" t="inlineStr">
        <is>
          <t>BOOK</t>
        </is>
      </c>
      <c r="BC51" t="inlineStr">
        <is>
          <t>32285001052371</t>
        </is>
      </c>
      <c r="BD51" t="inlineStr">
        <is>
          <t>893625703</t>
        </is>
      </c>
    </row>
    <row r="52">
      <c r="A52" t="inlineStr">
        <is>
          <t>No</t>
        </is>
      </c>
      <c r="B52" t="inlineStr">
        <is>
          <t>BF1078 .P33 1986</t>
        </is>
      </c>
      <c r="C52" t="inlineStr">
        <is>
          <t>0                      BF 1078000P  33          1986</t>
        </is>
      </c>
      <c r="D52" t="inlineStr">
        <is>
          <t>The dream : 4,000 years of theory and practice : a critical, descriptive, and encyclopedic bibliography / by Nancy Parsifal-Charles.</t>
        </is>
      </c>
      <c r="E52" t="inlineStr">
        <is>
          <t>V.2</t>
        </is>
      </c>
      <c r="F52" t="inlineStr">
        <is>
          <t>Yes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Parsifal-Charles, Nancy.</t>
        </is>
      </c>
      <c r="L52" t="inlineStr">
        <is>
          <t>West Cornwall, CT : Locust Hill Press, c1986.</t>
        </is>
      </c>
      <c r="M52" t="inlineStr">
        <is>
          <t>1986</t>
        </is>
      </c>
      <c r="O52" t="inlineStr">
        <is>
          <t>eng</t>
        </is>
      </c>
      <c r="P52" t="inlineStr">
        <is>
          <t>ctu</t>
        </is>
      </c>
      <c r="R52" t="inlineStr">
        <is>
          <t xml:space="preserve">BF </t>
        </is>
      </c>
      <c r="S52" t="n">
        <v>12</v>
      </c>
      <c r="T52" t="n">
        <v>23</v>
      </c>
      <c r="U52" t="inlineStr">
        <is>
          <t>1995-09-26</t>
        </is>
      </c>
      <c r="V52" t="inlineStr">
        <is>
          <t>1995-09-26</t>
        </is>
      </c>
      <c r="W52" t="inlineStr">
        <is>
          <t>1990-07-17</t>
        </is>
      </c>
      <c r="X52" t="inlineStr">
        <is>
          <t>1990-07-17</t>
        </is>
      </c>
      <c r="Y52" t="n">
        <v>278</v>
      </c>
      <c r="Z52" t="n">
        <v>243</v>
      </c>
      <c r="AA52" t="n">
        <v>250</v>
      </c>
      <c r="AB52" t="n">
        <v>2</v>
      </c>
      <c r="AC52" t="n">
        <v>2</v>
      </c>
      <c r="AD52" t="n">
        <v>12</v>
      </c>
      <c r="AE52" t="n">
        <v>12</v>
      </c>
      <c r="AF52" t="n">
        <v>0</v>
      </c>
      <c r="AG52" t="n">
        <v>0</v>
      </c>
      <c r="AH52" t="n">
        <v>5</v>
      </c>
      <c r="AI52" t="n">
        <v>5</v>
      </c>
      <c r="AJ52" t="n">
        <v>8</v>
      </c>
      <c r="AK52" t="n">
        <v>8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Yes</t>
        </is>
      </c>
      <c r="AR52">
        <f>HYPERLINK("http://catalog.hathitrust.org/Record/007481172","HathiTrust Record")</f>
        <v/>
      </c>
      <c r="AS52">
        <f>HYPERLINK("https://creighton-primo.hosted.exlibrisgroup.com/primo-explore/search?tab=default_tab&amp;search_scope=EVERYTHING&amp;vid=01CRU&amp;lang=en_US&amp;offset=0&amp;query=any,contains,991000889459702656","Catalog Record")</f>
        <v/>
      </c>
      <c r="AT52">
        <f>HYPERLINK("http://www.worldcat.org/oclc/13903345","WorldCat Record")</f>
        <v/>
      </c>
      <c r="AU52" t="inlineStr">
        <is>
          <t>253818750:eng</t>
        </is>
      </c>
      <c r="AV52" t="inlineStr">
        <is>
          <t>13903345</t>
        </is>
      </c>
      <c r="AW52" t="inlineStr">
        <is>
          <t>991000889459702656</t>
        </is>
      </c>
      <c r="AX52" t="inlineStr">
        <is>
          <t>991000889459702656</t>
        </is>
      </c>
      <c r="AY52" t="inlineStr">
        <is>
          <t>2270150880002656</t>
        </is>
      </c>
      <c r="AZ52" t="inlineStr">
        <is>
          <t>BOOK</t>
        </is>
      </c>
      <c r="BB52" t="inlineStr">
        <is>
          <t>9780933951068</t>
        </is>
      </c>
      <c r="BC52" t="inlineStr">
        <is>
          <t>32285000238393</t>
        </is>
      </c>
      <c r="BD52" t="inlineStr">
        <is>
          <t>893803145</t>
        </is>
      </c>
    </row>
    <row r="53">
      <c r="A53" t="inlineStr">
        <is>
          <t>No</t>
        </is>
      </c>
      <c r="B53" t="inlineStr">
        <is>
          <t>BF1078 .P33 1986</t>
        </is>
      </c>
      <c r="C53" t="inlineStr">
        <is>
          <t>0                      BF 1078000P  33          1986</t>
        </is>
      </c>
      <c r="D53" t="inlineStr">
        <is>
          <t>The dream : 4,000 years of theory and practice : a critical, descriptive, and encyclopedic bibliography / by Nancy Parsifal-Charles.</t>
        </is>
      </c>
      <c r="E53" t="inlineStr">
        <is>
          <t>V.1</t>
        </is>
      </c>
      <c r="F53" t="inlineStr">
        <is>
          <t>Yes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Parsifal-Charles, Nancy.</t>
        </is>
      </c>
      <c r="L53" t="inlineStr">
        <is>
          <t>West Cornwall, CT : Locust Hill Press, c1986.</t>
        </is>
      </c>
      <c r="M53" t="inlineStr">
        <is>
          <t>1986</t>
        </is>
      </c>
      <c r="O53" t="inlineStr">
        <is>
          <t>eng</t>
        </is>
      </c>
      <c r="P53" t="inlineStr">
        <is>
          <t>ctu</t>
        </is>
      </c>
      <c r="R53" t="inlineStr">
        <is>
          <t xml:space="preserve">BF </t>
        </is>
      </c>
      <c r="S53" t="n">
        <v>11</v>
      </c>
      <c r="T53" t="n">
        <v>23</v>
      </c>
      <c r="U53" t="inlineStr">
        <is>
          <t>1995-09-26</t>
        </is>
      </c>
      <c r="V53" t="inlineStr">
        <is>
          <t>1995-09-26</t>
        </is>
      </c>
      <c r="W53" t="inlineStr">
        <is>
          <t>1990-07-17</t>
        </is>
      </c>
      <c r="X53" t="inlineStr">
        <is>
          <t>1990-07-17</t>
        </is>
      </c>
      <c r="Y53" t="n">
        <v>278</v>
      </c>
      <c r="Z53" t="n">
        <v>243</v>
      </c>
      <c r="AA53" t="n">
        <v>250</v>
      </c>
      <c r="AB53" t="n">
        <v>2</v>
      </c>
      <c r="AC53" t="n">
        <v>2</v>
      </c>
      <c r="AD53" t="n">
        <v>12</v>
      </c>
      <c r="AE53" t="n">
        <v>12</v>
      </c>
      <c r="AF53" t="n">
        <v>0</v>
      </c>
      <c r="AG53" t="n">
        <v>0</v>
      </c>
      <c r="AH53" t="n">
        <v>5</v>
      </c>
      <c r="AI53" t="n">
        <v>5</v>
      </c>
      <c r="AJ53" t="n">
        <v>8</v>
      </c>
      <c r="AK53" t="n">
        <v>8</v>
      </c>
      <c r="AL53" t="n">
        <v>1</v>
      </c>
      <c r="AM53" t="n">
        <v>1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HYPERLINK("http://catalog.hathitrust.org/Record/007481172","HathiTrust Record")</f>
        <v/>
      </c>
      <c r="AS53">
        <f>HYPERLINK("https://creighton-primo.hosted.exlibrisgroup.com/primo-explore/search?tab=default_tab&amp;search_scope=EVERYTHING&amp;vid=01CRU&amp;lang=en_US&amp;offset=0&amp;query=any,contains,991000889459702656","Catalog Record")</f>
        <v/>
      </c>
      <c r="AT53">
        <f>HYPERLINK("http://www.worldcat.org/oclc/13903345","WorldCat Record")</f>
        <v/>
      </c>
      <c r="AU53" t="inlineStr">
        <is>
          <t>253818750:eng</t>
        </is>
      </c>
      <c r="AV53" t="inlineStr">
        <is>
          <t>13903345</t>
        </is>
      </c>
      <c r="AW53" t="inlineStr">
        <is>
          <t>991000889459702656</t>
        </is>
      </c>
      <c r="AX53" t="inlineStr">
        <is>
          <t>991000889459702656</t>
        </is>
      </c>
      <c r="AY53" t="inlineStr">
        <is>
          <t>2270150880002656</t>
        </is>
      </c>
      <c r="AZ53" t="inlineStr">
        <is>
          <t>BOOK</t>
        </is>
      </c>
      <c r="BB53" t="inlineStr">
        <is>
          <t>9780933951068</t>
        </is>
      </c>
      <c r="BC53" t="inlineStr">
        <is>
          <t>32285000238401</t>
        </is>
      </c>
      <c r="BD53" t="inlineStr">
        <is>
          <t>893803144</t>
        </is>
      </c>
    </row>
    <row r="54">
      <c r="A54" t="inlineStr">
        <is>
          <t>No</t>
        </is>
      </c>
      <c r="B54" t="inlineStr">
        <is>
          <t>BF1078 .P53</t>
        </is>
      </c>
      <c r="C54" t="inlineStr">
        <is>
          <t>0                      BF 1078000P  53</t>
        </is>
      </c>
      <c r="D54" t="inlineStr">
        <is>
          <t>Philosophical essays on dreaming / edited by Charles E. M. Dunlop.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Ithaca, N.Y. : Cornell University Press, 1977.</t>
        </is>
      </c>
      <c r="M54" t="inlineStr">
        <is>
          <t>1977</t>
        </is>
      </c>
      <c r="O54" t="inlineStr">
        <is>
          <t>eng</t>
        </is>
      </c>
      <c r="P54" t="inlineStr">
        <is>
          <t>nyu</t>
        </is>
      </c>
      <c r="R54" t="inlineStr">
        <is>
          <t xml:space="preserve">BF </t>
        </is>
      </c>
      <c r="S54" t="n">
        <v>11</v>
      </c>
      <c r="T54" t="n">
        <v>11</v>
      </c>
      <c r="U54" t="inlineStr">
        <is>
          <t>2006-04-18</t>
        </is>
      </c>
      <c r="V54" t="inlineStr">
        <is>
          <t>2006-04-18</t>
        </is>
      </c>
      <c r="W54" t="inlineStr">
        <is>
          <t>1992-11-05</t>
        </is>
      </c>
      <c r="X54" t="inlineStr">
        <is>
          <t>1992-11-05</t>
        </is>
      </c>
      <c r="Y54" t="n">
        <v>686</v>
      </c>
      <c r="Z54" t="n">
        <v>566</v>
      </c>
      <c r="AA54" t="n">
        <v>573</v>
      </c>
      <c r="AB54" t="n">
        <v>7</v>
      </c>
      <c r="AC54" t="n">
        <v>7</v>
      </c>
      <c r="AD54" t="n">
        <v>35</v>
      </c>
      <c r="AE54" t="n">
        <v>35</v>
      </c>
      <c r="AF54" t="n">
        <v>13</v>
      </c>
      <c r="AG54" t="n">
        <v>13</v>
      </c>
      <c r="AH54" t="n">
        <v>7</v>
      </c>
      <c r="AI54" t="n">
        <v>7</v>
      </c>
      <c r="AJ54" t="n">
        <v>18</v>
      </c>
      <c r="AK54" t="n">
        <v>18</v>
      </c>
      <c r="AL54" t="n">
        <v>6</v>
      </c>
      <c r="AM54" t="n">
        <v>6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HYPERLINK("http://catalog.hathitrust.org/Record/000250453","HathiTrust Record")</f>
        <v/>
      </c>
      <c r="AS54">
        <f>HYPERLINK("https://creighton-primo.hosted.exlibrisgroup.com/primo-explore/search?tab=default_tab&amp;search_scope=EVERYTHING&amp;vid=01CRU&amp;lang=en_US&amp;offset=0&amp;query=any,contains,991004307709702656","Catalog Record")</f>
        <v/>
      </c>
      <c r="AT54">
        <f>HYPERLINK("http://www.worldcat.org/oclc/2984499","WorldCat Record")</f>
        <v/>
      </c>
      <c r="AU54" t="inlineStr">
        <is>
          <t>450241:eng</t>
        </is>
      </c>
      <c r="AV54" t="inlineStr">
        <is>
          <t>2984499</t>
        </is>
      </c>
      <c r="AW54" t="inlineStr">
        <is>
          <t>991004307709702656</t>
        </is>
      </c>
      <c r="AX54" t="inlineStr">
        <is>
          <t>991004307709702656</t>
        </is>
      </c>
      <c r="AY54" t="inlineStr">
        <is>
          <t>2258246360002656</t>
        </is>
      </c>
      <c r="AZ54" t="inlineStr">
        <is>
          <t>BOOK</t>
        </is>
      </c>
      <c r="BB54" t="inlineStr">
        <is>
          <t>9780801410154</t>
        </is>
      </c>
      <c r="BC54" t="inlineStr">
        <is>
          <t>32285001382869</t>
        </is>
      </c>
      <c r="BD54" t="inlineStr">
        <is>
          <t>893800840</t>
        </is>
      </c>
    </row>
    <row r="55">
      <c r="A55" t="inlineStr">
        <is>
          <t>No</t>
        </is>
      </c>
      <c r="B55" t="inlineStr">
        <is>
          <t>BF1078 .P58 1986</t>
        </is>
      </c>
      <c r="C55" t="inlineStr">
        <is>
          <t>0                      BF 1078000P  58          1986</t>
        </is>
      </c>
      <c r="D55" t="inlineStr">
        <is>
          <t>Dreams : a key to self-knowledge / Zygmunt A. Piotrowski, with Albert M. Biele.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Piotrowski, Zygmunt A., 1904-1985.</t>
        </is>
      </c>
      <c r="L55" t="inlineStr">
        <is>
          <t>Hillsdale, N.J. : L. Erlbaum Associates, 1986.</t>
        </is>
      </c>
      <c r="M55" t="inlineStr">
        <is>
          <t>1986</t>
        </is>
      </c>
      <c r="O55" t="inlineStr">
        <is>
          <t>eng</t>
        </is>
      </c>
      <c r="P55" t="inlineStr">
        <is>
          <t>nju</t>
        </is>
      </c>
      <c r="R55" t="inlineStr">
        <is>
          <t xml:space="preserve">BF </t>
        </is>
      </c>
      <c r="S55" t="n">
        <v>45</v>
      </c>
      <c r="T55" t="n">
        <v>45</v>
      </c>
      <c r="U55" t="inlineStr">
        <is>
          <t>2007-07-17</t>
        </is>
      </c>
      <c r="V55" t="inlineStr">
        <is>
          <t>2007-07-17</t>
        </is>
      </c>
      <c r="W55" t="inlineStr">
        <is>
          <t>1991-11-25</t>
        </is>
      </c>
      <c r="X55" t="inlineStr">
        <is>
          <t>1991-11-25</t>
        </is>
      </c>
      <c r="Y55" t="n">
        <v>233</v>
      </c>
      <c r="Z55" t="n">
        <v>199</v>
      </c>
      <c r="AA55" t="n">
        <v>199</v>
      </c>
      <c r="AB55" t="n">
        <v>4</v>
      </c>
      <c r="AC55" t="n">
        <v>4</v>
      </c>
      <c r="AD55" t="n">
        <v>13</v>
      </c>
      <c r="AE55" t="n">
        <v>13</v>
      </c>
      <c r="AF55" t="n">
        <v>3</v>
      </c>
      <c r="AG55" t="n">
        <v>3</v>
      </c>
      <c r="AH55" t="n">
        <v>4</v>
      </c>
      <c r="AI55" t="n">
        <v>4</v>
      </c>
      <c r="AJ55" t="n">
        <v>8</v>
      </c>
      <c r="AK55" t="n">
        <v>8</v>
      </c>
      <c r="AL55" t="n">
        <v>3</v>
      </c>
      <c r="AM55" t="n">
        <v>3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HYPERLINK("https://creighton-primo.hosted.exlibrisgroup.com/primo-explore/search?tab=default_tab&amp;search_scope=EVERYTHING&amp;vid=01CRU&amp;lang=en_US&amp;offset=0&amp;query=any,contains,991000794719702656","Catalog Record")</f>
        <v/>
      </c>
      <c r="AT55">
        <f>HYPERLINK("http://www.worldcat.org/oclc/13184839","WorldCat Record")</f>
        <v/>
      </c>
      <c r="AU55" t="inlineStr">
        <is>
          <t>5850904:eng</t>
        </is>
      </c>
      <c r="AV55" t="inlineStr">
        <is>
          <t>13184839</t>
        </is>
      </c>
      <c r="AW55" t="inlineStr">
        <is>
          <t>991000794719702656</t>
        </is>
      </c>
      <c r="AX55" t="inlineStr">
        <is>
          <t>991000794719702656</t>
        </is>
      </c>
      <c r="AY55" t="inlineStr">
        <is>
          <t>2255058780002656</t>
        </is>
      </c>
      <c r="AZ55" t="inlineStr">
        <is>
          <t>BOOK</t>
        </is>
      </c>
      <c r="BB55" t="inlineStr">
        <is>
          <t>9780898596915</t>
        </is>
      </c>
      <c r="BC55" t="inlineStr">
        <is>
          <t>32285005320600</t>
        </is>
      </c>
      <c r="BD55" t="inlineStr">
        <is>
          <t>893502809</t>
        </is>
      </c>
    </row>
    <row r="56">
      <c r="A56" t="inlineStr">
        <is>
          <t>No</t>
        </is>
      </c>
      <c r="B56" t="inlineStr">
        <is>
          <t>BF1078 .S674 1988</t>
        </is>
      </c>
      <c r="C56" t="inlineStr">
        <is>
          <t>0                      BF 1078000S  674         1988</t>
        </is>
      </c>
      <c r="D56" t="inlineStr">
        <is>
          <t>The rhetoric of dreams / Bert O. States.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States, Bert O., 1929-</t>
        </is>
      </c>
      <c r="L56" t="inlineStr">
        <is>
          <t>Ithaca : Cornell University Press, 1988.</t>
        </is>
      </c>
      <c r="M56" t="inlineStr">
        <is>
          <t>1988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BF </t>
        </is>
      </c>
      <c r="S56" t="n">
        <v>14</v>
      </c>
      <c r="T56" t="n">
        <v>14</v>
      </c>
      <c r="U56" t="inlineStr">
        <is>
          <t>1997-10-08</t>
        </is>
      </c>
      <c r="V56" t="inlineStr">
        <is>
          <t>1997-10-08</t>
        </is>
      </c>
      <c r="W56" t="inlineStr">
        <is>
          <t>1991-03-14</t>
        </is>
      </c>
      <c r="X56" t="inlineStr">
        <is>
          <t>1991-03-14</t>
        </is>
      </c>
      <c r="Y56" t="n">
        <v>358</v>
      </c>
      <c r="Z56" t="n">
        <v>287</v>
      </c>
      <c r="AA56" t="n">
        <v>510</v>
      </c>
      <c r="AB56" t="n">
        <v>4</v>
      </c>
      <c r="AC56" t="n">
        <v>4</v>
      </c>
      <c r="AD56" t="n">
        <v>16</v>
      </c>
      <c r="AE56" t="n">
        <v>25</v>
      </c>
      <c r="AF56" t="n">
        <v>3</v>
      </c>
      <c r="AG56" t="n">
        <v>10</v>
      </c>
      <c r="AH56" t="n">
        <v>5</v>
      </c>
      <c r="AI56" t="n">
        <v>7</v>
      </c>
      <c r="AJ56" t="n">
        <v>11</v>
      </c>
      <c r="AK56" t="n">
        <v>13</v>
      </c>
      <c r="AL56" t="n">
        <v>3</v>
      </c>
      <c r="AM56" t="n">
        <v>3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HYPERLINK("http://catalog.hathitrust.org/Record/001088581","HathiTrust Record")</f>
        <v/>
      </c>
      <c r="AS56">
        <f>HYPERLINK("https://creighton-primo.hosted.exlibrisgroup.com/primo-explore/search?tab=default_tab&amp;search_scope=EVERYTHING&amp;vid=01CRU&amp;lang=en_US&amp;offset=0&amp;query=any,contains,991001429859702656","Catalog Record")</f>
        <v/>
      </c>
      <c r="AT56">
        <f>HYPERLINK("http://www.worldcat.org/oclc/19082534","WorldCat Record")</f>
        <v/>
      </c>
      <c r="AU56" t="inlineStr">
        <is>
          <t>19049941:eng</t>
        </is>
      </c>
      <c r="AV56" t="inlineStr">
        <is>
          <t>19082534</t>
        </is>
      </c>
      <c r="AW56" t="inlineStr">
        <is>
          <t>991001429859702656</t>
        </is>
      </c>
      <c r="AX56" t="inlineStr">
        <is>
          <t>991001429859702656</t>
        </is>
      </c>
      <c r="AY56" t="inlineStr">
        <is>
          <t>2268567270002656</t>
        </is>
      </c>
      <c r="AZ56" t="inlineStr">
        <is>
          <t>BOOK</t>
        </is>
      </c>
      <c r="BB56" t="inlineStr">
        <is>
          <t>9780801421983</t>
        </is>
      </c>
      <c r="BC56" t="inlineStr">
        <is>
          <t>32285000511542</t>
        </is>
      </c>
      <c r="BD56" t="inlineStr">
        <is>
          <t>893590364</t>
        </is>
      </c>
    </row>
    <row r="57">
      <c r="A57" t="inlineStr">
        <is>
          <t>No</t>
        </is>
      </c>
      <c r="B57" t="inlineStr">
        <is>
          <t>BF108.U5 H66 1989</t>
        </is>
      </c>
      <c r="C57" t="inlineStr">
        <is>
          <t>0                      BF 0108000U  5                  H  66          1989</t>
        </is>
      </c>
      <c r="D57" t="inlineStr">
        <is>
          <t>Consciousness in New England : from Puritanism and ideas to psychoanalysis and semiotic / James Hoopes.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Hoopes, James, 1944-</t>
        </is>
      </c>
      <c r="L57" t="inlineStr">
        <is>
          <t>Baltimore : Johns Hopkins University Press, c1989.</t>
        </is>
      </c>
      <c r="M57" t="inlineStr">
        <is>
          <t>1989</t>
        </is>
      </c>
      <c r="O57" t="inlineStr">
        <is>
          <t>eng</t>
        </is>
      </c>
      <c r="P57" t="inlineStr">
        <is>
          <t>mdu</t>
        </is>
      </c>
      <c r="Q57" t="inlineStr">
        <is>
          <t>New studies in American intellectual and cultural history</t>
        </is>
      </c>
      <c r="R57" t="inlineStr">
        <is>
          <t xml:space="preserve">BF </t>
        </is>
      </c>
      <c r="S57" t="n">
        <v>1</v>
      </c>
      <c r="T57" t="n">
        <v>1</v>
      </c>
      <c r="U57" t="inlineStr">
        <is>
          <t>2006-11-15</t>
        </is>
      </c>
      <c r="V57" t="inlineStr">
        <is>
          <t>2006-11-15</t>
        </is>
      </c>
      <c r="W57" t="inlineStr">
        <is>
          <t>1991-07-25</t>
        </is>
      </c>
      <c r="X57" t="inlineStr">
        <is>
          <t>1991-07-25</t>
        </is>
      </c>
      <c r="Y57" t="n">
        <v>487</v>
      </c>
      <c r="Z57" t="n">
        <v>421</v>
      </c>
      <c r="AA57" t="n">
        <v>428</v>
      </c>
      <c r="AB57" t="n">
        <v>3</v>
      </c>
      <c r="AC57" t="n">
        <v>3</v>
      </c>
      <c r="AD57" t="n">
        <v>20</v>
      </c>
      <c r="AE57" t="n">
        <v>20</v>
      </c>
      <c r="AF57" t="n">
        <v>6</v>
      </c>
      <c r="AG57" t="n">
        <v>6</v>
      </c>
      <c r="AH57" t="n">
        <v>7</v>
      </c>
      <c r="AI57" t="n">
        <v>7</v>
      </c>
      <c r="AJ57" t="n">
        <v>12</v>
      </c>
      <c r="AK57" t="n">
        <v>12</v>
      </c>
      <c r="AL57" t="n">
        <v>2</v>
      </c>
      <c r="AM57" t="n">
        <v>2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HYPERLINK("http://catalog.hathitrust.org/Record/001836800","HathiTrust Record")</f>
        <v/>
      </c>
      <c r="AS57">
        <f>HYPERLINK("https://creighton-primo.hosted.exlibrisgroup.com/primo-explore/search?tab=default_tab&amp;search_scope=EVERYTHING&amp;vid=01CRU&amp;lang=en_US&amp;offset=0&amp;query=any,contains,991001469599702656","Catalog Record")</f>
        <v/>
      </c>
      <c r="AT57">
        <f>HYPERLINK("http://www.worldcat.org/oclc/19519923","WorldCat Record")</f>
        <v/>
      </c>
      <c r="AU57" t="inlineStr">
        <is>
          <t>21458068:eng</t>
        </is>
      </c>
      <c r="AV57" t="inlineStr">
        <is>
          <t>19519923</t>
        </is>
      </c>
      <c r="AW57" t="inlineStr">
        <is>
          <t>991001469599702656</t>
        </is>
      </c>
      <c r="AX57" t="inlineStr">
        <is>
          <t>991001469599702656</t>
        </is>
      </c>
      <c r="AY57" t="inlineStr">
        <is>
          <t>2263554560002656</t>
        </is>
      </c>
      <c r="AZ57" t="inlineStr">
        <is>
          <t>BOOK</t>
        </is>
      </c>
      <c r="BB57" t="inlineStr">
        <is>
          <t>9780801838248</t>
        </is>
      </c>
      <c r="BC57" t="inlineStr">
        <is>
          <t>32285000662808</t>
        </is>
      </c>
      <c r="BD57" t="inlineStr">
        <is>
          <t>893866257</t>
        </is>
      </c>
    </row>
    <row r="58">
      <c r="A58" t="inlineStr">
        <is>
          <t>No</t>
        </is>
      </c>
      <c r="B58" t="inlineStr">
        <is>
          <t>BF108.U5 M4 1980</t>
        </is>
      </c>
      <c r="C58" t="inlineStr">
        <is>
          <t>0                      BF 0108000U  5                  M  4           1980</t>
        </is>
      </c>
      <c r="D58" t="inlineStr">
        <is>
          <t>The positive thinkers : religion as pop psychology, from Mary Baker Eddy to Oral Roberts / Donald Meyer.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Meyer, Donald B.</t>
        </is>
      </c>
      <c r="L58" t="inlineStr">
        <is>
          <t>New York : Pantheon Books, c1965, 1980.</t>
        </is>
      </c>
      <c r="M58" t="inlineStr">
        <is>
          <t>1980</t>
        </is>
      </c>
      <c r="N58" t="inlineStr">
        <is>
          <t>Reissue, with a new preface and conclusion.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BF </t>
        </is>
      </c>
      <c r="S58" t="n">
        <v>3</v>
      </c>
      <c r="T58" t="n">
        <v>3</v>
      </c>
      <c r="U58" t="inlineStr">
        <is>
          <t>2001-04-17</t>
        </is>
      </c>
      <c r="V58" t="inlineStr">
        <is>
          <t>2001-04-17</t>
        </is>
      </c>
      <c r="W58" t="inlineStr">
        <is>
          <t>1990-08-09</t>
        </is>
      </c>
      <c r="X58" t="inlineStr">
        <is>
          <t>1990-08-09</t>
        </is>
      </c>
      <c r="Y58" t="n">
        <v>483</v>
      </c>
      <c r="Z58" t="n">
        <v>451</v>
      </c>
      <c r="AA58" t="n">
        <v>475</v>
      </c>
      <c r="AB58" t="n">
        <v>2</v>
      </c>
      <c r="AC58" t="n">
        <v>2</v>
      </c>
      <c r="AD58" t="n">
        <v>13</v>
      </c>
      <c r="AE58" t="n">
        <v>13</v>
      </c>
      <c r="AF58" t="n">
        <v>7</v>
      </c>
      <c r="AG58" t="n">
        <v>7</v>
      </c>
      <c r="AH58" t="n">
        <v>3</v>
      </c>
      <c r="AI58" t="n">
        <v>3</v>
      </c>
      <c r="AJ58" t="n">
        <v>7</v>
      </c>
      <c r="AK58" t="n">
        <v>7</v>
      </c>
      <c r="AL58" t="n">
        <v>1</v>
      </c>
      <c r="AM58" t="n">
        <v>1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HYPERLINK("http://catalog.hathitrust.org/Record/000689379","HathiTrust Record")</f>
        <v/>
      </c>
      <c r="AS58">
        <f>HYPERLINK("https://creighton-primo.hosted.exlibrisgroup.com/primo-explore/search?tab=default_tab&amp;search_scope=EVERYTHING&amp;vid=01CRU&amp;lang=en_US&amp;offset=0&amp;query=any,contains,991004883069702656","Catalog Record")</f>
        <v/>
      </c>
      <c r="AT58">
        <f>HYPERLINK("http://www.worldcat.org/oclc/5830001","WorldCat Record")</f>
        <v/>
      </c>
      <c r="AU58" t="inlineStr">
        <is>
          <t>3856229447:eng</t>
        </is>
      </c>
      <c r="AV58" t="inlineStr">
        <is>
          <t>5830001</t>
        </is>
      </c>
      <c r="AW58" t="inlineStr">
        <is>
          <t>991004883069702656</t>
        </is>
      </c>
      <c r="AX58" t="inlineStr">
        <is>
          <t>991004883069702656</t>
        </is>
      </c>
      <c r="AY58" t="inlineStr">
        <is>
          <t>2263855720002656</t>
        </is>
      </c>
      <c r="AZ58" t="inlineStr">
        <is>
          <t>BOOK</t>
        </is>
      </c>
      <c r="BB58" t="inlineStr">
        <is>
          <t>9780394510293</t>
        </is>
      </c>
      <c r="BC58" t="inlineStr">
        <is>
          <t>32285000280627</t>
        </is>
      </c>
      <c r="BD58" t="inlineStr">
        <is>
          <t>893700782</t>
        </is>
      </c>
    </row>
    <row r="59">
      <c r="A59" t="inlineStr">
        <is>
          <t>No</t>
        </is>
      </c>
      <c r="B59" t="inlineStr">
        <is>
          <t>BF108.U5 R6 1964</t>
        </is>
      </c>
      <c r="C59" t="inlineStr">
        <is>
          <t>0                      BF 0108000U  5                  R  6           1964</t>
        </is>
      </c>
      <c r="D59" t="inlineStr">
        <is>
          <t>History of American psychology / [by] A.A. Roback.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Roback, A. A. (Abraham Aaron), 1890-1965.</t>
        </is>
      </c>
      <c r="L59" t="inlineStr">
        <is>
          <t>New York : Collier Books, [1964]</t>
        </is>
      </c>
      <c r="M59" t="inlineStr">
        <is>
          <t>1964</t>
        </is>
      </c>
      <c r="N59" t="inlineStr">
        <is>
          <t>New, rev. ed.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BF </t>
        </is>
      </c>
      <c r="S59" t="n">
        <v>2</v>
      </c>
      <c r="T59" t="n">
        <v>2</v>
      </c>
      <c r="U59" t="inlineStr">
        <is>
          <t>2009-03-13</t>
        </is>
      </c>
      <c r="V59" t="inlineStr">
        <is>
          <t>2009-03-13</t>
        </is>
      </c>
      <c r="W59" t="inlineStr">
        <is>
          <t>1993-02-11</t>
        </is>
      </c>
      <c r="X59" t="inlineStr">
        <is>
          <t>1993-02-11</t>
        </is>
      </c>
      <c r="Y59" t="n">
        <v>298</v>
      </c>
      <c r="Z59" t="n">
        <v>227</v>
      </c>
      <c r="AA59" t="n">
        <v>744</v>
      </c>
      <c r="AB59" t="n">
        <v>4</v>
      </c>
      <c r="AC59" t="n">
        <v>6</v>
      </c>
      <c r="AD59" t="n">
        <v>10</v>
      </c>
      <c r="AE59" t="n">
        <v>30</v>
      </c>
      <c r="AF59" t="n">
        <v>3</v>
      </c>
      <c r="AG59" t="n">
        <v>12</v>
      </c>
      <c r="AH59" t="n">
        <v>1</v>
      </c>
      <c r="AI59" t="n">
        <v>4</v>
      </c>
      <c r="AJ59" t="n">
        <v>4</v>
      </c>
      <c r="AK59" t="n">
        <v>13</v>
      </c>
      <c r="AL59" t="n">
        <v>3</v>
      </c>
      <c r="AM59" t="n">
        <v>5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HYPERLINK("http://catalog.hathitrust.org/Record/000581458","HathiTrust Record")</f>
        <v/>
      </c>
      <c r="AS59">
        <f>HYPERLINK("https://creighton-primo.hosted.exlibrisgroup.com/primo-explore/search?tab=default_tab&amp;search_scope=EVERYTHING&amp;vid=01CRU&amp;lang=en_US&amp;offset=0&amp;query=any,contains,991001204809702656","Catalog Record")</f>
        <v/>
      </c>
      <c r="AT59">
        <f>HYPERLINK("http://www.worldcat.org/oclc/191735","WorldCat Record")</f>
        <v/>
      </c>
      <c r="AU59" t="inlineStr">
        <is>
          <t>4917177165:eng</t>
        </is>
      </c>
      <c r="AV59" t="inlineStr">
        <is>
          <t>191735</t>
        </is>
      </c>
      <c r="AW59" t="inlineStr">
        <is>
          <t>991001204809702656</t>
        </is>
      </c>
      <c r="AX59" t="inlineStr">
        <is>
          <t>991001204809702656</t>
        </is>
      </c>
      <c r="AY59" t="inlineStr">
        <is>
          <t>2258948130002656</t>
        </is>
      </c>
      <c r="AZ59" t="inlineStr">
        <is>
          <t>BOOK</t>
        </is>
      </c>
      <c r="BC59" t="inlineStr">
        <is>
          <t>32285001500726</t>
        </is>
      </c>
      <c r="BD59" t="inlineStr">
        <is>
          <t>893509469</t>
        </is>
      </c>
    </row>
    <row r="60">
      <c r="A60" t="inlineStr">
        <is>
          <t>No</t>
        </is>
      </c>
      <c r="B60" t="inlineStr">
        <is>
          <t>BF109.A1 K7</t>
        </is>
      </c>
      <c r="C60" t="inlineStr">
        <is>
          <t>0                      BF 0109000A  1                  K  7</t>
        </is>
      </c>
      <c r="D60" t="inlineStr">
        <is>
          <t>The psychologists / Edited by T. S. Krawiec. --</t>
        </is>
      </c>
      <c r="E60" t="inlineStr">
        <is>
          <t>V.3</t>
        </is>
      </c>
      <c r="F60" t="inlineStr">
        <is>
          <t>Yes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Krawiec, T. S. (Theophile Stanley), 1913-1995.</t>
        </is>
      </c>
      <c r="L60" t="inlineStr">
        <is>
          <t>New York : Oxford University Press, 1972-</t>
        </is>
      </c>
      <c r="M60" t="inlineStr">
        <is>
          <t>1972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BF </t>
        </is>
      </c>
      <c r="S60" t="n">
        <v>0</v>
      </c>
      <c r="T60" t="n">
        <v>3</v>
      </c>
      <c r="V60" t="inlineStr">
        <is>
          <t>1994-03-23</t>
        </is>
      </c>
      <c r="W60" t="inlineStr">
        <is>
          <t>1990-08-09</t>
        </is>
      </c>
      <c r="X60" t="inlineStr">
        <is>
          <t>1990-08-09</t>
        </is>
      </c>
      <c r="Y60" t="n">
        <v>656</v>
      </c>
      <c r="Z60" t="n">
        <v>585</v>
      </c>
      <c r="AA60" t="n">
        <v>590</v>
      </c>
      <c r="AB60" t="n">
        <v>4</v>
      </c>
      <c r="AC60" t="n">
        <v>4</v>
      </c>
      <c r="AD60" t="n">
        <v>25</v>
      </c>
      <c r="AE60" t="n">
        <v>25</v>
      </c>
      <c r="AF60" t="n">
        <v>10</v>
      </c>
      <c r="AG60" t="n">
        <v>10</v>
      </c>
      <c r="AH60" t="n">
        <v>5</v>
      </c>
      <c r="AI60" t="n">
        <v>5</v>
      </c>
      <c r="AJ60" t="n">
        <v>14</v>
      </c>
      <c r="AK60" t="n">
        <v>14</v>
      </c>
      <c r="AL60" t="n">
        <v>3</v>
      </c>
      <c r="AM60" t="n">
        <v>3</v>
      </c>
      <c r="AN60" t="n">
        <v>0</v>
      </c>
      <c r="AO60" t="n">
        <v>0</v>
      </c>
      <c r="AP60" t="inlineStr">
        <is>
          <t>No</t>
        </is>
      </c>
      <c r="AQ60" t="inlineStr">
        <is>
          <t>Yes</t>
        </is>
      </c>
      <c r="AR60">
        <f>HYPERLINK("http://catalog.hathitrust.org/Record/000117109","HathiTrust Record")</f>
        <v/>
      </c>
      <c r="AS60">
        <f>HYPERLINK("https://creighton-primo.hosted.exlibrisgroup.com/primo-explore/search?tab=default_tab&amp;search_scope=EVERYTHING&amp;vid=01CRU&amp;lang=en_US&amp;offset=0&amp;query=any,contains,991002385109702656","Catalog Record")</f>
        <v/>
      </c>
      <c r="AT60">
        <f>HYPERLINK("http://www.worldcat.org/oclc/329649","WorldCat Record")</f>
        <v/>
      </c>
      <c r="AU60" t="inlineStr">
        <is>
          <t>5091106132:eng</t>
        </is>
      </c>
      <c r="AV60" t="inlineStr">
        <is>
          <t>329649</t>
        </is>
      </c>
      <c r="AW60" t="inlineStr">
        <is>
          <t>991002385109702656</t>
        </is>
      </c>
      <c r="AX60" t="inlineStr">
        <is>
          <t>991002385109702656</t>
        </is>
      </c>
      <c r="AY60" t="inlineStr">
        <is>
          <t>2267473950002656</t>
        </is>
      </c>
      <c r="AZ60" t="inlineStr">
        <is>
          <t>BOOK</t>
        </is>
      </c>
      <c r="BC60" t="inlineStr">
        <is>
          <t>32285000280650</t>
        </is>
      </c>
      <c r="BD60" t="inlineStr">
        <is>
          <t>893352302</t>
        </is>
      </c>
    </row>
    <row r="61">
      <c r="A61" t="inlineStr">
        <is>
          <t>No</t>
        </is>
      </c>
      <c r="B61" t="inlineStr">
        <is>
          <t>BF109.A1 K7</t>
        </is>
      </c>
      <c r="C61" t="inlineStr">
        <is>
          <t>0                      BF 0109000A  1                  K  7</t>
        </is>
      </c>
      <c r="D61" t="inlineStr">
        <is>
          <t>The psychologists / Edited by T. S. Krawiec. --</t>
        </is>
      </c>
      <c r="E61" t="inlineStr">
        <is>
          <t>V.1</t>
        </is>
      </c>
      <c r="F61" t="inlineStr">
        <is>
          <t>Yes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Krawiec, T. S. (Theophile Stanley), 1913-1995.</t>
        </is>
      </c>
      <c r="L61" t="inlineStr">
        <is>
          <t>New York : Oxford University Press, 1972-</t>
        </is>
      </c>
      <c r="M61" t="inlineStr">
        <is>
          <t>1972</t>
        </is>
      </c>
      <c r="O61" t="inlineStr">
        <is>
          <t>eng</t>
        </is>
      </c>
      <c r="P61" t="inlineStr">
        <is>
          <t>nyu</t>
        </is>
      </c>
      <c r="R61" t="inlineStr">
        <is>
          <t xml:space="preserve">BF </t>
        </is>
      </c>
      <c r="S61" t="n">
        <v>3</v>
      </c>
      <c r="T61" t="n">
        <v>3</v>
      </c>
      <c r="U61" t="inlineStr">
        <is>
          <t>1994-03-23</t>
        </is>
      </c>
      <c r="V61" t="inlineStr">
        <is>
          <t>1994-03-23</t>
        </is>
      </c>
      <c r="W61" t="inlineStr">
        <is>
          <t>1990-08-09</t>
        </is>
      </c>
      <c r="X61" t="inlineStr">
        <is>
          <t>1990-08-09</t>
        </is>
      </c>
      <c r="Y61" t="n">
        <v>656</v>
      </c>
      <c r="Z61" t="n">
        <v>585</v>
      </c>
      <c r="AA61" t="n">
        <v>590</v>
      </c>
      <c r="AB61" t="n">
        <v>4</v>
      </c>
      <c r="AC61" t="n">
        <v>4</v>
      </c>
      <c r="AD61" t="n">
        <v>25</v>
      </c>
      <c r="AE61" t="n">
        <v>25</v>
      </c>
      <c r="AF61" t="n">
        <v>10</v>
      </c>
      <c r="AG61" t="n">
        <v>10</v>
      </c>
      <c r="AH61" t="n">
        <v>5</v>
      </c>
      <c r="AI61" t="n">
        <v>5</v>
      </c>
      <c r="AJ61" t="n">
        <v>14</v>
      </c>
      <c r="AK61" t="n">
        <v>14</v>
      </c>
      <c r="AL61" t="n">
        <v>3</v>
      </c>
      <c r="AM61" t="n">
        <v>3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HYPERLINK("http://catalog.hathitrust.org/Record/000117109","HathiTrust Record")</f>
        <v/>
      </c>
      <c r="AS61">
        <f>HYPERLINK("https://creighton-primo.hosted.exlibrisgroup.com/primo-explore/search?tab=default_tab&amp;search_scope=EVERYTHING&amp;vid=01CRU&amp;lang=en_US&amp;offset=0&amp;query=any,contains,991002385109702656","Catalog Record")</f>
        <v/>
      </c>
      <c r="AT61">
        <f>HYPERLINK("http://www.worldcat.org/oclc/329649","WorldCat Record")</f>
        <v/>
      </c>
      <c r="AU61" t="inlineStr">
        <is>
          <t>5091106132:eng</t>
        </is>
      </c>
      <c r="AV61" t="inlineStr">
        <is>
          <t>329649</t>
        </is>
      </c>
      <c r="AW61" t="inlineStr">
        <is>
          <t>991002385109702656</t>
        </is>
      </c>
      <c r="AX61" t="inlineStr">
        <is>
          <t>991002385109702656</t>
        </is>
      </c>
      <c r="AY61" t="inlineStr">
        <is>
          <t>2267473950002656</t>
        </is>
      </c>
      <c r="AZ61" t="inlineStr">
        <is>
          <t>BOOK</t>
        </is>
      </c>
      <c r="BC61" t="inlineStr">
        <is>
          <t>32285000280643</t>
        </is>
      </c>
      <c r="BD61" t="inlineStr">
        <is>
          <t>893329000</t>
        </is>
      </c>
    </row>
    <row r="62">
      <c r="A62" t="inlineStr">
        <is>
          <t>No</t>
        </is>
      </c>
      <c r="B62" t="inlineStr">
        <is>
          <t>BF109.B78 A35 1983</t>
        </is>
      </c>
      <c r="C62" t="inlineStr">
        <is>
          <t>0                      BF 0109000B  78                 A  35          1983</t>
        </is>
      </c>
      <c r="D62" t="inlineStr">
        <is>
          <t>In search of mind : essays in autobiography / Jerome Bruner.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Bruner, Jerome S. (Jerome Seymour)</t>
        </is>
      </c>
      <c r="L62" t="inlineStr">
        <is>
          <t>New York : Harper &amp; Row, c1983.</t>
        </is>
      </c>
      <c r="M62" t="inlineStr">
        <is>
          <t>1983</t>
        </is>
      </c>
      <c r="N62" t="inlineStr">
        <is>
          <t>1st ed.</t>
        </is>
      </c>
      <c r="O62" t="inlineStr">
        <is>
          <t>eng</t>
        </is>
      </c>
      <c r="P62" t="inlineStr">
        <is>
          <t>nyu</t>
        </is>
      </c>
      <c r="Q62" t="inlineStr">
        <is>
          <t>The Alfred P. Sloan Foundation series</t>
        </is>
      </c>
      <c r="R62" t="inlineStr">
        <is>
          <t xml:space="preserve">BF </t>
        </is>
      </c>
      <c r="S62" t="n">
        <v>3</v>
      </c>
      <c r="T62" t="n">
        <v>3</v>
      </c>
      <c r="U62" t="inlineStr">
        <is>
          <t>2003-12-19</t>
        </is>
      </c>
      <c r="V62" t="inlineStr">
        <is>
          <t>2003-12-19</t>
        </is>
      </c>
      <c r="W62" t="inlineStr">
        <is>
          <t>1990-08-09</t>
        </is>
      </c>
      <c r="X62" t="inlineStr">
        <is>
          <t>1990-08-09</t>
        </is>
      </c>
      <c r="Y62" t="n">
        <v>1171</v>
      </c>
      <c r="Z62" t="n">
        <v>1006</v>
      </c>
      <c r="AA62" t="n">
        <v>1040</v>
      </c>
      <c r="AB62" t="n">
        <v>8</v>
      </c>
      <c r="AC62" t="n">
        <v>8</v>
      </c>
      <c r="AD62" t="n">
        <v>41</v>
      </c>
      <c r="AE62" t="n">
        <v>43</v>
      </c>
      <c r="AF62" t="n">
        <v>15</v>
      </c>
      <c r="AG62" t="n">
        <v>16</v>
      </c>
      <c r="AH62" t="n">
        <v>9</v>
      </c>
      <c r="AI62" t="n">
        <v>9</v>
      </c>
      <c r="AJ62" t="n">
        <v>22</v>
      </c>
      <c r="AK62" t="n">
        <v>23</v>
      </c>
      <c r="AL62" t="n">
        <v>7</v>
      </c>
      <c r="AM62" t="n">
        <v>7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HYPERLINK("http://catalog.hathitrust.org/Record/000778433","HathiTrust Record")</f>
        <v/>
      </c>
      <c r="AS62">
        <f>HYPERLINK("https://creighton-primo.hosted.exlibrisgroup.com/primo-explore/search?tab=default_tab&amp;search_scope=EVERYTHING&amp;vid=01CRU&amp;lang=en_US&amp;offset=0&amp;query=any,contains,991000173749702656","Catalog Record")</f>
        <v/>
      </c>
      <c r="AT62">
        <f>HYPERLINK("http://www.worldcat.org/oclc/9325266","WorldCat Record")</f>
        <v/>
      </c>
      <c r="AU62" t="inlineStr">
        <is>
          <t>836689803:eng</t>
        </is>
      </c>
      <c r="AV62" t="inlineStr">
        <is>
          <t>9325266</t>
        </is>
      </c>
      <c r="AW62" t="inlineStr">
        <is>
          <t>991000173749702656</t>
        </is>
      </c>
      <c r="AX62" t="inlineStr">
        <is>
          <t>991000173749702656</t>
        </is>
      </c>
      <c r="AY62" t="inlineStr">
        <is>
          <t>2267567050002656</t>
        </is>
      </c>
      <c r="AZ62" t="inlineStr">
        <is>
          <t>BOOK</t>
        </is>
      </c>
      <c r="BB62" t="inlineStr">
        <is>
          <t>9780060151911</t>
        </is>
      </c>
      <c r="BC62" t="inlineStr">
        <is>
          <t>32285000280700</t>
        </is>
      </c>
      <c r="BD62" t="inlineStr">
        <is>
          <t>893777764</t>
        </is>
      </c>
    </row>
    <row r="63">
      <c r="A63" t="inlineStr">
        <is>
          <t>No</t>
        </is>
      </c>
      <c r="B63" t="inlineStr">
        <is>
          <t>BF109.C37 A32</t>
        </is>
      </c>
      <c r="C63" t="inlineStr">
        <is>
          <t>0                      BF 0109000C  37                 A  32</t>
        </is>
      </c>
      <c r="D63" t="inlineStr">
        <is>
          <t>An education in psychology : James McKeen Cattell's journal and letters from Germany and England, 1880-1888 / selected and edited by Michael M. Sokal.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Cattell, James McKeen, 1860-1944.</t>
        </is>
      </c>
      <c r="L63" t="inlineStr">
        <is>
          <t>Cambridge, Mass. : MIT Press, c1981.</t>
        </is>
      </c>
      <c r="M63" t="inlineStr">
        <is>
          <t>1981</t>
        </is>
      </c>
      <c r="O63" t="inlineStr">
        <is>
          <t>eng</t>
        </is>
      </c>
      <c r="P63" t="inlineStr">
        <is>
          <t>mau</t>
        </is>
      </c>
      <c r="R63" t="inlineStr">
        <is>
          <t xml:space="preserve">BF </t>
        </is>
      </c>
      <c r="S63" t="n">
        <v>1</v>
      </c>
      <c r="T63" t="n">
        <v>1</v>
      </c>
      <c r="U63" t="inlineStr">
        <is>
          <t>2009-03-12</t>
        </is>
      </c>
      <c r="V63" t="inlineStr">
        <is>
          <t>2009-03-12</t>
        </is>
      </c>
      <c r="W63" t="inlineStr">
        <is>
          <t>1990-08-09</t>
        </is>
      </c>
      <c r="X63" t="inlineStr">
        <is>
          <t>1990-08-09</t>
        </is>
      </c>
      <c r="Y63" t="n">
        <v>332</v>
      </c>
      <c r="Z63" t="n">
        <v>266</v>
      </c>
      <c r="AA63" t="n">
        <v>281</v>
      </c>
      <c r="AB63" t="n">
        <v>2</v>
      </c>
      <c r="AC63" t="n">
        <v>2</v>
      </c>
      <c r="AD63" t="n">
        <v>7</v>
      </c>
      <c r="AE63" t="n">
        <v>7</v>
      </c>
      <c r="AF63" t="n">
        <v>1</v>
      </c>
      <c r="AG63" t="n">
        <v>1</v>
      </c>
      <c r="AH63" t="n">
        <v>2</v>
      </c>
      <c r="AI63" t="n">
        <v>2</v>
      </c>
      <c r="AJ63" t="n">
        <v>5</v>
      </c>
      <c r="AK63" t="n">
        <v>5</v>
      </c>
      <c r="AL63" t="n">
        <v>1</v>
      </c>
      <c r="AM63" t="n">
        <v>1</v>
      </c>
      <c r="AN63" t="n">
        <v>0</v>
      </c>
      <c r="AO63" t="n">
        <v>0</v>
      </c>
      <c r="AP63" t="inlineStr">
        <is>
          <t>No</t>
        </is>
      </c>
      <c r="AQ63" t="inlineStr">
        <is>
          <t>Yes</t>
        </is>
      </c>
      <c r="AR63">
        <f>HYPERLINK("http://catalog.hathitrust.org/Record/000083154","HathiTrust Record")</f>
        <v/>
      </c>
      <c r="AS63">
        <f>HYPERLINK("https://creighton-primo.hosted.exlibrisgroup.com/primo-explore/search?tab=default_tab&amp;search_scope=EVERYTHING&amp;vid=01CRU&amp;lang=en_US&amp;offset=0&amp;query=any,contains,991005058029702656","Catalog Record")</f>
        <v/>
      </c>
      <c r="AT63">
        <f>HYPERLINK("http://www.worldcat.org/oclc/6914784","WorldCat Record")</f>
        <v/>
      </c>
      <c r="AU63" t="inlineStr">
        <is>
          <t>836665536:eng</t>
        </is>
      </c>
      <c r="AV63" t="inlineStr">
        <is>
          <t>6914784</t>
        </is>
      </c>
      <c r="AW63" t="inlineStr">
        <is>
          <t>991005058029702656</t>
        </is>
      </c>
      <c r="AX63" t="inlineStr">
        <is>
          <t>991005058029702656</t>
        </is>
      </c>
      <c r="AY63" t="inlineStr">
        <is>
          <t>2262723690002656</t>
        </is>
      </c>
      <c r="AZ63" t="inlineStr">
        <is>
          <t>BOOK</t>
        </is>
      </c>
      <c r="BB63" t="inlineStr">
        <is>
          <t>9780262191852</t>
        </is>
      </c>
      <c r="BC63" t="inlineStr">
        <is>
          <t>32285000280726</t>
        </is>
      </c>
      <c r="BD63" t="inlineStr">
        <is>
          <t>893263579</t>
        </is>
      </c>
    </row>
    <row r="64">
      <c r="A64" t="inlineStr">
        <is>
          <t>No</t>
        </is>
      </c>
      <c r="B64" t="inlineStr">
        <is>
          <t>BF109.F74 G554 1993</t>
        </is>
      </c>
      <c r="C64" t="inlineStr">
        <is>
          <t>0                      BF 0109000F  74                 G  554         1993</t>
        </is>
      </c>
      <c r="D64" t="inlineStr">
        <is>
          <t>Freud, race, and gender / Sander L. Gilman.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Gilman, Sander L.</t>
        </is>
      </c>
      <c r="L64" t="inlineStr">
        <is>
          <t>Princeton, N.J. : Princeton University Press, c1993.</t>
        </is>
      </c>
      <c r="M64" t="inlineStr">
        <is>
          <t>1993</t>
        </is>
      </c>
      <c r="O64" t="inlineStr">
        <is>
          <t>eng</t>
        </is>
      </c>
      <c r="P64" t="inlineStr">
        <is>
          <t>nju</t>
        </is>
      </c>
      <c r="R64" t="inlineStr">
        <is>
          <t xml:space="preserve">BF </t>
        </is>
      </c>
      <c r="S64" t="n">
        <v>2</v>
      </c>
      <c r="T64" t="n">
        <v>2</v>
      </c>
      <c r="U64" t="inlineStr">
        <is>
          <t>1995-11-26</t>
        </is>
      </c>
      <c r="V64" t="inlineStr">
        <is>
          <t>1995-11-26</t>
        </is>
      </c>
      <c r="W64" t="inlineStr">
        <is>
          <t>1994-12-13</t>
        </is>
      </c>
      <c r="X64" t="inlineStr">
        <is>
          <t>1994-12-13</t>
        </is>
      </c>
      <c r="Y64" t="n">
        <v>808</v>
      </c>
      <c r="Z64" t="n">
        <v>657</v>
      </c>
      <c r="AA64" t="n">
        <v>694</v>
      </c>
      <c r="AB64" t="n">
        <v>4</v>
      </c>
      <c r="AC64" t="n">
        <v>5</v>
      </c>
      <c r="AD64" t="n">
        <v>36</v>
      </c>
      <c r="AE64" t="n">
        <v>37</v>
      </c>
      <c r="AF64" t="n">
        <v>16</v>
      </c>
      <c r="AG64" t="n">
        <v>16</v>
      </c>
      <c r="AH64" t="n">
        <v>6</v>
      </c>
      <c r="AI64" t="n">
        <v>6</v>
      </c>
      <c r="AJ64" t="n">
        <v>22</v>
      </c>
      <c r="AK64" t="n">
        <v>22</v>
      </c>
      <c r="AL64" t="n">
        <v>3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No</t>
        </is>
      </c>
      <c r="AS64">
        <f>HYPERLINK("https://creighton-primo.hosted.exlibrisgroup.com/primo-explore/search?tab=default_tab&amp;search_scope=EVERYTHING&amp;vid=01CRU&amp;lang=en_US&amp;offset=0&amp;query=any,contains,991002118959702656","Catalog Record")</f>
        <v/>
      </c>
      <c r="AT64">
        <f>HYPERLINK("http://www.worldcat.org/oclc/27151303","WorldCat Record")</f>
        <v/>
      </c>
      <c r="AU64" t="inlineStr">
        <is>
          <t>347808:eng</t>
        </is>
      </c>
      <c r="AV64" t="inlineStr">
        <is>
          <t>27151303</t>
        </is>
      </c>
      <c r="AW64" t="inlineStr">
        <is>
          <t>991002118959702656</t>
        </is>
      </c>
      <c r="AX64" t="inlineStr">
        <is>
          <t>991002118959702656</t>
        </is>
      </c>
      <c r="AY64" t="inlineStr">
        <is>
          <t>2267669330002656</t>
        </is>
      </c>
      <c r="AZ64" t="inlineStr">
        <is>
          <t>BOOK</t>
        </is>
      </c>
      <c r="BB64" t="inlineStr">
        <is>
          <t>9780691032450</t>
        </is>
      </c>
      <c r="BC64" t="inlineStr">
        <is>
          <t>32285001976389</t>
        </is>
      </c>
      <c r="BD64" t="inlineStr">
        <is>
          <t>893322583</t>
        </is>
      </c>
    </row>
    <row r="65">
      <c r="A65" t="inlineStr">
        <is>
          <t>No</t>
        </is>
      </c>
      <c r="B65" t="inlineStr">
        <is>
          <t>BF109.F74 S38</t>
        </is>
      </c>
      <c r="C65" t="inlineStr">
        <is>
          <t>0                      BF 0109000F  74                 S  38</t>
        </is>
      </c>
      <c r="D65" t="inlineStr">
        <is>
          <t>Freud, living and dying.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Schur, Max.</t>
        </is>
      </c>
      <c r="L65" t="inlineStr">
        <is>
          <t>New York : International Universities Press, [1972]</t>
        </is>
      </c>
      <c r="M65" t="inlineStr">
        <is>
          <t>1972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BF </t>
        </is>
      </c>
      <c r="S65" t="n">
        <v>5</v>
      </c>
      <c r="T65" t="n">
        <v>5</v>
      </c>
      <c r="U65" t="inlineStr">
        <is>
          <t>2009-04-08</t>
        </is>
      </c>
      <c r="V65" t="inlineStr">
        <is>
          <t>2009-04-08</t>
        </is>
      </c>
      <c r="W65" t="inlineStr">
        <is>
          <t>1993-04-27</t>
        </is>
      </c>
      <c r="X65" t="inlineStr">
        <is>
          <t>1993-04-27</t>
        </is>
      </c>
      <c r="Y65" t="n">
        <v>1017</v>
      </c>
      <c r="Z65" t="n">
        <v>920</v>
      </c>
      <c r="AA65" t="n">
        <v>989</v>
      </c>
      <c r="AB65" t="n">
        <v>7</v>
      </c>
      <c r="AC65" t="n">
        <v>7</v>
      </c>
      <c r="AD65" t="n">
        <v>31</v>
      </c>
      <c r="AE65" t="n">
        <v>34</v>
      </c>
      <c r="AF65" t="n">
        <v>11</v>
      </c>
      <c r="AG65" t="n">
        <v>12</v>
      </c>
      <c r="AH65" t="n">
        <v>6</v>
      </c>
      <c r="AI65" t="n">
        <v>8</v>
      </c>
      <c r="AJ65" t="n">
        <v>15</v>
      </c>
      <c r="AK65" t="n">
        <v>17</v>
      </c>
      <c r="AL65" t="n">
        <v>5</v>
      </c>
      <c r="AM65" t="n">
        <v>5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HYPERLINK("http://catalog.hathitrust.org/Record/000581611","HathiTrust Record")</f>
        <v/>
      </c>
      <c r="AS65">
        <f>HYPERLINK("https://creighton-primo.hosted.exlibrisgroup.com/primo-explore/search?tab=default_tab&amp;search_scope=EVERYTHING&amp;vid=01CRU&amp;lang=en_US&amp;offset=0&amp;query=any,contains,991002455309702656","Catalog Record")</f>
        <v/>
      </c>
      <c r="AT65">
        <f>HYPERLINK("http://www.worldcat.org/oclc/354104","WorldCat Record")</f>
        <v/>
      </c>
      <c r="AU65" t="inlineStr">
        <is>
          <t>489268:eng</t>
        </is>
      </c>
      <c r="AV65" t="inlineStr">
        <is>
          <t>354104</t>
        </is>
      </c>
      <c r="AW65" t="inlineStr">
        <is>
          <t>991002455309702656</t>
        </is>
      </c>
      <c r="AX65" t="inlineStr">
        <is>
          <t>991002455309702656</t>
        </is>
      </c>
      <c r="AY65" t="inlineStr">
        <is>
          <t>2266207130002656</t>
        </is>
      </c>
      <c r="AZ65" t="inlineStr">
        <is>
          <t>BOOK</t>
        </is>
      </c>
      <c r="BB65" t="inlineStr">
        <is>
          <t>9780823620258</t>
        </is>
      </c>
      <c r="BC65" t="inlineStr">
        <is>
          <t>32285001627974</t>
        </is>
      </c>
      <c r="BD65" t="inlineStr">
        <is>
          <t>893421385</t>
        </is>
      </c>
    </row>
    <row r="66">
      <c r="A66" t="inlineStr">
        <is>
          <t>No</t>
        </is>
      </c>
      <c r="B66" t="inlineStr">
        <is>
          <t>BF109.F76 B87 1991</t>
        </is>
      </c>
      <c r="C66" t="inlineStr">
        <is>
          <t>0                      BF 0109000F  76                 B  87          1991</t>
        </is>
      </c>
      <c r="D66" t="inlineStr">
        <is>
          <t>The legacy of Erich Fromm / Daniel Burston.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Burston, Daniel, 1954-</t>
        </is>
      </c>
      <c r="L66" t="inlineStr">
        <is>
          <t>Cambridge, Mass. : Harvard University Press, 1991.</t>
        </is>
      </c>
      <c r="M66" t="inlineStr">
        <is>
          <t>1991</t>
        </is>
      </c>
      <c r="O66" t="inlineStr">
        <is>
          <t>eng</t>
        </is>
      </c>
      <c r="P66" t="inlineStr">
        <is>
          <t>mau</t>
        </is>
      </c>
      <c r="R66" t="inlineStr">
        <is>
          <t xml:space="preserve">BF </t>
        </is>
      </c>
      <c r="S66" t="n">
        <v>3</v>
      </c>
      <c r="T66" t="n">
        <v>3</v>
      </c>
      <c r="U66" t="inlineStr">
        <is>
          <t>2010-02-26</t>
        </is>
      </c>
      <c r="V66" t="inlineStr">
        <is>
          <t>2010-02-26</t>
        </is>
      </c>
      <c r="W66" t="inlineStr">
        <is>
          <t>1992-02-10</t>
        </is>
      </c>
      <c r="X66" t="inlineStr">
        <is>
          <t>1992-02-10</t>
        </is>
      </c>
      <c r="Y66" t="n">
        <v>663</v>
      </c>
      <c r="Z66" t="n">
        <v>557</v>
      </c>
      <c r="AA66" t="n">
        <v>567</v>
      </c>
      <c r="AB66" t="n">
        <v>4</v>
      </c>
      <c r="AC66" t="n">
        <v>4</v>
      </c>
      <c r="AD66" t="n">
        <v>30</v>
      </c>
      <c r="AE66" t="n">
        <v>30</v>
      </c>
      <c r="AF66" t="n">
        <v>12</v>
      </c>
      <c r="AG66" t="n">
        <v>12</v>
      </c>
      <c r="AH66" t="n">
        <v>7</v>
      </c>
      <c r="AI66" t="n">
        <v>7</v>
      </c>
      <c r="AJ66" t="n">
        <v>15</v>
      </c>
      <c r="AK66" t="n">
        <v>15</v>
      </c>
      <c r="AL66" t="n">
        <v>3</v>
      </c>
      <c r="AM66" t="n">
        <v>3</v>
      </c>
      <c r="AN66" t="n">
        <v>0</v>
      </c>
      <c r="AO66" t="n">
        <v>0</v>
      </c>
      <c r="AP66" t="inlineStr">
        <is>
          <t>No</t>
        </is>
      </c>
      <c r="AQ66" t="inlineStr">
        <is>
          <t>Yes</t>
        </is>
      </c>
      <c r="AR66">
        <f>HYPERLINK("http://catalog.hathitrust.org/Record/002461166","HathiTrust Record")</f>
        <v/>
      </c>
      <c r="AS66">
        <f>HYPERLINK("https://creighton-primo.hosted.exlibrisgroup.com/primo-explore/search?tab=default_tab&amp;search_scope=EVERYTHING&amp;vid=01CRU&amp;lang=en_US&amp;offset=0&amp;query=any,contains,991001775949702656","Catalog Record")</f>
        <v/>
      </c>
      <c r="AT66">
        <f>HYPERLINK("http://www.worldcat.org/oclc/22421412","WorldCat Record")</f>
        <v/>
      </c>
      <c r="AU66" t="inlineStr">
        <is>
          <t>2681470:eng</t>
        </is>
      </c>
      <c r="AV66" t="inlineStr">
        <is>
          <t>22421412</t>
        </is>
      </c>
      <c r="AW66" t="inlineStr">
        <is>
          <t>991001775949702656</t>
        </is>
      </c>
      <c r="AX66" t="inlineStr">
        <is>
          <t>991001775949702656</t>
        </is>
      </c>
      <c r="AY66" t="inlineStr">
        <is>
          <t>2268875650002656</t>
        </is>
      </c>
      <c r="AZ66" t="inlineStr">
        <is>
          <t>BOOK</t>
        </is>
      </c>
      <c r="BB66" t="inlineStr">
        <is>
          <t>9780674521681</t>
        </is>
      </c>
      <c r="BC66" t="inlineStr">
        <is>
          <t>32285000868991</t>
        </is>
      </c>
      <c r="BD66" t="inlineStr">
        <is>
          <t>893866472</t>
        </is>
      </c>
    </row>
    <row r="67">
      <c r="A67" t="inlineStr">
        <is>
          <t>No</t>
        </is>
      </c>
      <c r="B67" t="inlineStr">
        <is>
          <t>BF109.H3 R67</t>
        </is>
      </c>
      <c r="C67" t="inlineStr">
        <is>
          <t>0                      BF 0109000H  3                  R  67</t>
        </is>
      </c>
      <c r="D67" t="inlineStr">
        <is>
          <t>G. Stanley Hall : the psychologist as prophet.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Ross, Dorothy, 1936-</t>
        </is>
      </c>
      <c r="L67" t="inlineStr">
        <is>
          <t>Chicago : University of Chicago Press, [1972]</t>
        </is>
      </c>
      <c r="M67" t="inlineStr">
        <is>
          <t>1972</t>
        </is>
      </c>
      <c r="O67" t="inlineStr">
        <is>
          <t>eng</t>
        </is>
      </c>
      <c r="P67" t="inlineStr">
        <is>
          <t>ilu</t>
        </is>
      </c>
      <c r="R67" t="inlineStr">
        <is>
          <t xml:space="preserve">BF </t>
        </is>
      </c>
      <c r="S67" t="n">
        <v>6</v>
      </c>
      <c r="T67" t="n">
        <v>6</v>
      </c>
      <c r="U67" t="inlineStr">
        <is>
          <t>2009-02-27</t>
        </is>
      </c>
      <c r="V67" t="inlineStr">
        <is>
          <t>2009-02-27</t>
        </is>
      </c>
      <c r="W67" t="inlineStr">
        <is>
          <t>1992-05-07</t>
        </is>
      </c>
      <c r="X67" t="inlineStr">
        <is>
          <t>1992-05-07</t>
        </is>
      </c>
      <c r="Y67" t="n">
        <v>738</v>
      </c>
      <c r="Z67" t="n">
        <v>627</v>
      </c>
      <c r="AA67" t="n">
        <v>627</v>
      </c>
      <c r="AB67" t="n">
        <v>8</v>
      </c>
      <c r="AC67" t="n">
        <v>8</v>
      </c>
      <c r="AD67" t="n">
        <v>31</v>
      </c>
      <c r="AE67" t="n">
        <v>31</v>
      </c>
      <c r="AF67" t="n">
        <v>10</v>
      </c>
      <c r="AG67" t="n">
        <v>10</v>
      </c>
      <c r="AH67" t="n">
        <v>8</v>
      </c>
      <c r="AI67" t="n">
        <v>8</v>
      </c>
      <c r="AJ67" t="n">
        <v>15</v>
      </c>
      <c r="AK67" t="n">
        <v>15</v>
      </c>
      <c r="AL67" t="n">
        <v>6</v>
      </c>
      <c r="AM67" t="n">
        <v>6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HYPERLINK("https://creighton-primo.hosted.exlibrisgroup.com/primo-explore/search?tab=default_tab&amp;search_scope=EVERYTHING&amp;vid=01CRU&amp;lang=en_US&amp;offset=0&amp;query=any,contains,991002724699702656","Catalog Record")</f>
        <v/>
      </c>
      <c r="AT67">
        <f>HYPERLINK("http://www.worldcat.org/oclc/413971","WorldCat Record")</f>
        <v/>
      </c>
      <c r="AU67" t="inlineStr">
        <is>
          <t>479382577:eng</t>
        </is>
      </c>
      <c r="AV67" t="inlineStr">
        <is>
          <t>413971</t>
        </is>
      </c>
      <c r="AW67" t="inlineStr">
        <is>
          <t>991002724699702656</t>
        </is>
      </c>
      <c r="AX67" t="inlineStr">
        <is>
          <t>991002724699702656</t>
        </is>
      </c>
      <c r="AY67" t="inlineStr">
        <is>
          <t>2268159240002656</t>
        </is>
      </c>
      <c r="AZ67" t="inlineStr">
        <is>
          <t>BOOK</t>
        </is>
      </c>
      <c r="BB67" t="inlineStr">
        <is>
          <t>9780226728216</t>
        </is>
      </c>
      <c r="BC67" t="inlineStr">
        <is>
          <t>32285001097111</t>
        </is>
      </c>
      <c r="BD67" t="inlineStr">
        <is>
          <t>893892902</t>
        </is>
      </c>
    </row>
    <row r="68">
      <c r="A68" t="inlineStr">
        <is>
          <t>No</t>
        </is>
      </c>
      <c r="B68" t="inlineStr">
        <is>
          <t>BF109.K53 C47 1971</t>
        </is>
      </c>
      <c r="C68" t="inlineStr">
        <is>
          <t>0                      BF 0109000K  53                 C  47          1971</t>
        </is>
      </c>
      <c r="D68" t="inlineStr">
        <is>
          <t>Kinsey, a biography [by] Cornelia V. Christenson.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Christenson, Cornelia V.</t>
        </is>
      </c>
      <c r="L68" t="inlineStr">
        <is>
          <t>Bloomington, Indiana University Press [1971]</t>
        </is>
      </c>
      <c r="M68" t="inlineStr">
        <is>
          <t>1971</t>
        </is>
      </c>
      <c r="O68" t="inlineStr">
        <is>
          <t>eng</t>
        </is>
      </c>
      <c r="P68" t="inlineStr">
        <is>
          <t>inu</t>
        </is>
      </c>
      <c r="R68" t="inlineStr">
        <is>
          <t xml:space="preserve">BF </t>
        </is>
      </c>
      <c r="S68" t="n">
        <v>2</v>
      </c>
      <c r="T68" t="n">
        <v>2</v>
      </c>
      <c r="U68" t="inlineStr">
        <is>
          <t>2008-10-27</t>
        </is>
      </c>
      <c r="V68" t="inlineStr">
        <is>
          <t>2008-10-27</t>
        </is>
      </c>
      <c r="W68" t="inlineStr">
        <is>
          <t>1996-07-23</t>
        </is>
      </c>
      <c r="X68" t="inlineStr">
        <is>
          <t>1996-07-23</t>
        </is>
      </c>
      <c r="Y68" t="n">
        <v>687</v>
      </c>
      <c r="Z68" t="n">
        <v>611</v>
      </c>
      <c r="AA68" t="n">
        <v>618</v>
      </c>
      <c r="AB68" t="n">
        <v>5</v>
      </c>
      <c r="AC68" t="n">
        <v>5</v>
      </c>
      <c r="AD68" t="n">
        <v>16</v>
      </c>
      <c r="AE68" t="n">
        <v>16</v>
      </c>
      <c r="AF68" t="n">
        <v>4</v>
      </c>
      <c r="AG68" t="n">
        <v>4</v>
      </c>
      <c r="AH68" t="n">
        <v>4</v>
      </c>
      <c r="AI68" t="n">
        <v>4</v>
      </c>
      <c r="AJ68" t="n">
        <v>6</v>
      </c>
      <c r="AK68" t="n">
        <v>6</v>
      </c>
      <c r="AL68" t="n">
        <v>4</v>
      </c>
      <c r="AM68" t="n">
        <v>4</v>
      </c>
      <c r="AN68" t="n">
        <v>1</v>
      </c>
      <c r="AO68" t="n">
        <v>1</v>
      </c>
      <c r="AP68" t="inlineStr">
        <is>
          <t>No</t>
        </is>
      </c>
      <c r="AQ68" t="inlineStr">
        <is>
          <t>Yes</t>
        </is>
      </c>
      <c r="AR68">
        <f>HYPERLINK("http://catalog.hathitrust.org/Record/000581641","HathiTrust Record")</f>
        <v/>
      </c>
      <c r="AS68">
        <f>HYPERLINK("https://creighton-primo.hosted.exlibrisgroup.com/primo-explore/search?tab=default_tab&amp;search_scope=EVERYTHING&amp;vid=01CRU&amp;lang=en_US&amp;offset=0&amp;query=any,contains,991000907179702656","Catalog Record")</f>
        <v/>
      </c>
      <c r="AT68">
        <f>HYPERLINK("http://www.worldcat.org/oclc/157881","WorldCat Record")</f>
        <v/>
      </c>
      <c r="AU68" t="inlineStr">
        <is>
          <t>1195388:eng</t>
        </is>
      </c>
      <c r="AV68" t="inlineStr">
        <is>
          <t>157881</t>
        </is>
      </c>
      <c r="AW68" t="inlineStr">
        <is>
          <t>991000907179702656</t>
        </is>
      </c>
      <c r="AX68" t="inlineStr">
        <is>
          <t>991000907179702656</t>
        </is>
      </c>
      <c r="AY68" t="inlineStr">
        <is>
          <t>2256161980002656</t>
        </is>
      </c>
      <c r="AZ68" t="inlineStr">
        <is>
          <t>BOOK</t>
        </is>
      </c>
      <c r="BB68" t="inlineStr">
        <is>
          <t>9780253146250</t>
        </is>
      </c>
      <c r="BC68" t="inlineStr">
        <is>
          <t>32285002234168</t>
        </is>
      </c>
      <c r="BD68" t="inlineStr">
        <is>
          <t>893339992</t>
        </is>
      </c>
    </row>
    <row r="69">
      <c r="A69" t="inlineStr">
        <is>
          <t>No</t>
        </is>
      </c>
      <c r="B69" t="inlineStr">
        <is>
          <t>BF109.R38 R34 1970b</t>
        </is>
      </c>
      <c r="C69" t="inlineStr">
        <is>
          <t>0                      BF 0109000R  38                 R  34          1970b</t>
        </is>
      </c>
      <c r="D69" t="inlineStr">
        <is>
          <t>Wilhelm Reich and orgonomy.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Raknes, Ola, 1887-1975.</t>
        </is>
      </c>
      <c r="L69" t="inlineStr">
        <is>
          <t>New York, St. Martin's Press [1970]</t>
        </is>
      </c>
      <c r="M69" t="inlineStr">
        <is>
          <t>1970</t>
        </is>
      </c>
      <c r="O69" t="inlineStr">
        <is>
          <t>eng</t>
        </is>
      </c>
      <c r="P69" t="inlineStr">
        <is>
          <t>nyu</t>
        </is>
      </c>
      <c r="R69" t="inlineStr">
        <is>
          <t xml:space="preserve">BF </t>
        </is>
      </c>
      <c r="S69" t="n">
        <v>2</v>
      </c>
      <c r="T69" t="n">
        <v>2</v>
      </c>
      <c r="U69" t="inlineStr">
        <is>
          <t>1996-09-29</t>
        </is>
      </c>
      <c r="V69" t="inlineStr">
        <is>
          <t>1996-09-29</t>
        </is>
      </c>
      <c r="W69" t="inlineStr">
        <is>
          <t>1996-07-23</t>
        </is>
      </c>
      <c r="X69" t="inlineStr">
        <is>
          <t>1996-07-23</t>
        </is>
      </c>
      <c r="Y69" t="n">
        <v>242</v>
      </c>
      <c r="Z69" t="n">
        <v>219</v>
      </c>
      <c r="AA69" t="n">
        <v>287</v>
      </c>
      <c r="AB69" t="n">
        <v>4</v>
      </c>
      <c r="AC69" t="n">
        <v>4</v>
      </c>
      <c r="AD69" t="n">
        <v>13</v>
      </c>
      <c r="AE69" t="n">
        <v>16</v>
      </c>
      <c r="AF69" t="n">
        <v>4</v>
      </c>
      <c r="AG69" t="n">
        <v>6</v>
      </c>
      <c r="AH69" t="n">
        <v>3</v>
      </c>
      <c r="AI69" t="n">
        <v>3</v>
      </c>
      <c r="AJ69" t="n">
        <v>6</v>
      </c>
      <c r="AK69" t="n">
        <v>7</v>
      </c>
      <c r="AL69" t="n">
        <v>3</v>
      </c>
      <c r="AM69" t="n">
        <v>3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HYPERLINK("http://catalog.hathitrust.org/Record/004443513","HathiTrust Record")</f>
        <v/>
      </c>
      <c r="AS69">
        <f>HYPERLINK("https://creighton-primo.hosted.exlibrisgroup.com/primo-explore/search?tab=default_tab&amp;search_scope=EVERYTHING&amp;vid=01CRU&amp;lang=en_US&amp;offset=0&amp;query=any,contains,991000803249702656","Catalog Record")</f>
        <v/>
      </c>
      <c r="AT69">
        <f>HYPERLINK("http://www.worldcat.org/oclc/139805","WorldCat Record")</f>
        <v/>
      </c>
      <c r="AU69" t="inlineStr">
        <is>
          <t>1299919:eng</t>
        </is>
      </c>
      <c r="AV69" t="inlineStr">
        <is>
          <t>139805</t>
        </is>
      </c>
      <c r="AW69" t="inlineStr">
        <is>
          <t>991000803249702656</t>
        </is>
      </c>
      <c r="AX69" t="inlineStr">
        <is>
          <t>991000803249702656</t>
        </is>
      </c>
      <c r="AY69" t="inlineStr">
        <is>
          <t>2261326190002656</t>
        </is>
      </c>
      <c r="AZ69" t="inlineStr">
        <is>
          <t>BOOK</t>
        </is>
      </c>
      <c r="BC69" t="inlineStr">
        <is>
          <t>32285002234184</t>
        </is>
      </c>
      <c r="BD69" t="inlineStr">
        <is>
          <t>893522031</t>
        </is>
      </c>
    </row>
    <row r="70">
      <c r="A70" t="inlineStr">
        <is>
          <t>No</t>
        </is>
      </c>
      <c r="B70" t="inlineStr">
        <is>
          <t>BF109.S55 A332 1979</t>
        </is>
      </c>
      <c r="C70" t="inlineStr">
        <is>
          <t>0                      BF 0109000S  55                 A  332         1979</t>
        </is>
      </c>
      <c r="D70" t="inlineStr">
        <is>
          <t>The shaping of a behaviorist : part two of an autobiography / B. F. Skinner.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Skinner, B. F. (Burrhus Frederic), 1904-1990.</t>
        </is>
      </c>
      <c r="L70" t="inlineStr">
        <is>
          <t>New York : Knopf : distributed by Random House, 1979.</t>
        </is>
      </c>
      <c r="M70" t="inlineStr">
        <is>
          <t>1979</t>
        </is>
      </c>
      <c r="N70" t="inlineStr">
        <is>
          <t>1st ed.</t>
        </is>
      </c>
      <c r="O70" t="inlineStr">
        <is>
          <t>eng</t>
        </is>
      </c>
      <c r="P70" t="inlineStr">
        <is>
          <t>nyu</t>
        </is>
      </c>
      <c r="R70" t="inlineStr">
        <is>
          <t xml:space="preserve">BF </t>
        </is>
      </c>
      <c r="S70" t="n">
        <v>4</v>
      </c>
      <c r="T70" t="n">
        <v>4</v>
      </c>
      <c r="U70" t="inlineStr">
        <is>
          <t>2009-04-02</t>
        </is>
      </c>
      <c r="V70" t="inlineStr">
        <is>
          <t>2009-04-02</t>
        </is>
      </c>
      <c r="W70" t="inlineStr">
        <is>
          <t>1990-05-04</t>
        </is>
      </c>
      <c r="X70" t="inlineStr">
        <is>
          <t>1990-05-04</t>
        </is>
      </c>
      <c r="Y70" t="n">
        <v>1332</v>
      </c>
      <c r="Z70" t="n">
        <v>1204</v>
      </c>
      <c r="AA70" t="n">
        <v>1265</v>
      </c>
      <c r="AB70" t="n">
        <v>8</v>
      </c>
      <c r="AC70" t="n">
        <v>8</v>
      </c>
      <c r="AD70" t="n">
        <v>35</v>
      </c>
      <c r="AE70" t="n">
        <v>36</v>
      </c>
      <c r="AF70" t="n">
        <v>13</v>
      </c>
      <c r="AG70" t="n">
        <v>14</v>
      </c>
      <c r="AH70" t="n">
        <v>7</v>
      </c>
      <c r="AI70" t="n">
        <v>7</v>
      </c>
      <c r="AJ70" t="n">
        <v>17</v>
      </c>
      <c r="AK70" t="n">
        <v>17</v>
      </c>
      <c r="AL70" t="n">
        <v>6</v>
      </c>
      <c r="AM70" t="n">
        <v>6</v>
      </c>
      <c r="AN70" t="n">
        <v>0</v>
      </c>
      <c r="AO70" t="n">
        <v>0</v>
      </c>
      <c r="AP70" t="inlineStr">
        <is>
          <t>No</t>
        </is>
      </c>
      <c r="AQ70" t="inlineStr">
        <is>
          <t>Yes</t>
        </is>
      </c>
      <c r="AR70">
        <f>HYPERLINK("http://catalog.hathitrust.org/Record/000690579","HathiTrust Record")</f>
        <v/>
      </c>
      <c r="AS70">
        <f>HYPERLINK("https://creighton-primo.hosted.exlibrisgroup.com/primo-explore/search?tab=default_tab&amp;search_scope=EVERYTHING&amp;vid=01CRU&amp;lang=en_US&amp;offset=0&amp;query=any,contains,991004696229702656","Catalog Record")</f>
        <v/>
      </c>
      <c r="AT70">
        <f>HYPERLINK("http://www.worldcat.org/oclc/4641872","WorldCat Record")</f>
        <v/>
      </c>
      <c r="AU70" t="inlineStr">
        <is>
          <t>49293107:eng</t>
        </is>
      </c>
      <c r="AV70" t="inlineStr">
        <is>
          <t>4641872</t>
        </is>
      </c>
      <c r="AW70" t="inlineStr">
        <is>
          <t>991004696229702656</t>
        </is>
      </c>
      <c r="AX70" t="inlineStr">
        <is>
          <t>991004696229702656</t>
        </is>
      </c>
      <c r="AY70" t="inlineStr">
        <is>
          <t>2257454450002656</t>
        </is>
      </c>
      <c r="AZ70" t="inlineStr">
        <is>
          <t>BOOK</t>
        </is>
      </c>
      <c r="BB70" t="inlineStr">
        <is>
          <t>9780394505817</t>
        </is>
      </c>
      <c r="BC70" t="inlineStr">
        <is>
          <t>32285000148998</t>
        </is>
      </c>
      <c r="BD70" t="inlineStr">
        <is>
          <t>893325661</t>
        </is>
      </c>
    </row>
    <row r="71">
      <c r="A71" t="inlineStr">
        <is>
          <t>No</t>
        </is>
      </c>
      <c r="B71" t="inlineStr">
        <is>
          <t>BF109.S55 E9</t>
        </is>
      </c>
      <c r="C71" t="inlineStr">
        <is>
          <t>0                      BF 0109000S  55                 E  9</t>
        </is>
      </c>
      <c r="D71" t="inlineStr">
        <is>
          <t>B. F. Skinner; the man and his ideas [by] Richard I. Evans.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Evans, Richard I. (Richard Isadore), 1922-2015.</t>
        </is>
      </c>
      <c r="L71" t="inlineStr">
        <is>
          <t>New York, Dutton, 1968.</t>
        </is>
      </c>
      <c r="M71" t="inlineStr">
        <is>
          <t>1968</t>
        </is>
      </c>
      <c r="N71" t="inlineStr">
        <is>
          <t>[1st ed.]</t>
        </is>
      </c>
      <c r="O71" t="inlineStr">
        <is>
          <t>eng</t>
        </is>
      </c>
      <c r="P71" t="inlineStr">
        <is>
          <t>nyu</t>
        </is>
      </c>
      <c r="Q71" t="inlineStr">
        <is>
          <t>His Dialogues with notable contributors to personality theory, v. 4</t>
        </is>
      </c>
      <c r="R71" t="inlineStr">
        <is>
          <t xml:space="preserve">BF </t>
        </is>
      </c>
      <c r="S71" t="n">
        <v>5</v>
      </c>
      <c r="T71" t="n">
        <v>5</v>
      </c>
      <c r="U71" t="inlineStr">
        <is>
          <t>2007-04-23</t>
        </is>
      </c>
      <c r="V71" t="inlineStr">
        <is>
          <t>2007-04-23</t>
        </is>
      </c>
      <c r="W71" t="inlineStr">
        <is>
          <t>1990-02-26</t>
        </is>
      </c>
      <c r="X71" t="inlineStr">
        <is>
          <t>1990-02-26</t>
        </is>
      </c>
      <c r="Y71" t="n">
        <v>920</v>
      </c>
      <c r="Z71" t="n">
        <v>824</v>
      </c>
      <c r="AA71" t="n">
        <v>864</v>
      </c>
      <c r="AB71" t="n">
        <v>9</v>
      </c>
      <c r="AC71" t="n">
        <v>9</v>
      </c>
      <c r="AD71" t="n">
        <v>34</v>
      </c>
      <c r="AE71" t="n">
        <v>36</v>
      </c>
      <c r="AF71" t="n">
        <v>14</v>
      </c>
      <c r="AG71" t="n">
        <v>15</v>
      </c>
      <c r="AH71" t="n">
        <v>7</v>
      </c>
      <c r="AI71" t="n">
        <v>8</v>
      </c>
      <c r="AJ71" t="n">
        <v>12</v>
      </c>
      <c r="AK71" t="n">
        <v>13</v>
      </c>
      <c r="AL71" t="n">
        <v>6</v>
      </c>
      <c r="AM71" t="n">
        <v>6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HYPERLINK("http://catalog.hathitrust.org/Record/000615989","HathiTrust Record")</f>
        <v/>
      </c>
      <c r="AS71">
        <f>HYPERLINK("https://creighton-primo.hosted.exlibrisgroup.com/primo-explore/search?tab=default_tab&amp;search_scope=EVERYTHING&amp;vid=01CRU&amp;lang=en_US&amp;offset=0&amp;query=any,contains,991002804589702656","Catalog Record")</f>
        <v/>
      </c>
      <c r="AT71">
        <f>HYPERLINK("http://www.worldcat.org/oclc/449126","WorldCat Record")</f>
        <v/>
      </c>
      <c r="AU71" t="inlineStr">
        <is>
          <t>3943968012:eng</t>
        </is>
      </c>
      <c r="AV71" t="inlineStr">
        <is>
          <t>449126</t>
        </is>
      </c>
      <c r="AW71" t="inlineStr">
        <is>
          <t>991002804589702656</t>
        </is>
      </c>
      <c r="AX71" t="inlineStr">
        <is>
          <t>991002804589702656</t>
        </is>
      </c>
      <c r="AY71" t="inlineStr">
        <is>
          <t>2265193130002656</t>
        </is>
      </c>
      <c r="AZ71" t="inlineStr">
        <is>
          <t>BOOK</t>
        </is>
      </c>
      <c r="BC71" t="inlineStr">
        <is>
          <t>32285000059971</t>
        </is>
      </c>
      <c r="BD71" t="inlineStr">
        <is>
          <t>893610320</t>
        </is>
      </c>
    </row>
    <row r="72">
      <c r="A72" t="inlineStr">
        <is>
          <t>No</t>
        </is>
      </c>
      <c r="B72" t="inlineStr">
        <is>
          <t>BF109.T39 M56 1988</t>
        </is>
      </c>
      <c r="C72" t="inlineStr">
        <is>
          <t>0                      BF 0109000T  39                 M  56          1988</t>
        </is>
      </c>
      <c r="D72" t="inlineStr">
        <is>
          <t>Lewis M. Terman : pioneer in psychological testing / Henry L. Minton.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Minton, Henry L.</t>
        </is>
      </c>
      <c r="L72" t="inlineStr">
        <is>
          <t>New York : New York University Press, 1988.</t>
        </is>
      </c>
      <c r="M72" t="inlineStr">
        <is>
          <t>1988</t>
        </is>
      </c>
      <c r="O72" t="inlineStr">
        <is>
          <t>eng</t>
        </is>
      </c>
      <c r="P72" t="inlineStr">
        <is>
          <t>nyu</t>
        </is>
      </c>
      <c r="Q72" t="inlineStr">
        <is>
          <t>The American social experience series ; 11</t>
        </is>
      </c>
      <c r="R72" t="inlineStr">
        <is>
          <t xml:space="preserve">BF </t>
        </is>
      </c>
      <c r="S72" t="n">
        <v>1</v>
      </c>
      <c r="T72" t="n">
        <v>1</v>
      </c>
      <c r="U72" t="inlineStr">
        <is>
          <t>2005-09-26</t>
        </is>
      </c>
      <c r="V72" t="inlineStr">
        <is>
          <t>2005-09-26</t>
        </is>
      </c>
      <c r="W72" t="inlineStr">
        <is>
          <t>1990-08-09</t>
        </is>
      </c>
      <c r="X72" t="inlineStr">
        <is>
          <t>1990-08-09</t>
        </is>
      </c>
      <c r="Y72" t="n">
        <v>522</v>
      </c>
      <c r="Z72" t="n">
        <v>436</v>
      </c>
      <c r="AA72" t="n">
        <v>436</v>
      </c>
      <c r="AB72" t="n">
        <v>6</v>
      </c>
      <c r="AC72" t="n">
        <v>6</v>
      </c>
      <c r="AD72" t="n">
        <v>23</v>
      </c>
      <c r="AE72" t="n">
        <v>23</v>
      </c>
      <c r="AF72" t="n">
        <v>6</v>
      </c>
      <c r="AG72" t="n">
        <v>6</v>
      </c>
      <c r="AH72" t="n">
        <v>5</v>
      </c>
      <c r="AI72" t="n">
        <v>5</v>
      </c>
      <c r="AJ72" t="n">
        <v>13</v>
      </c>
      <c r="AK72" t="n">
        <v>13</v>
      </c>
      <c r="AL72" t="n">
        <v>5</v>
      </c>
      <c r="AM72" t="n">
        <v>5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HYPERLINK("https://creighton-primo.hosted.exlibrisgroup.com/primo-explore/search?tab=default_tab&amp;search_scope=EVERYTHING&amp;vid=01CRU&amp;lang=en_US&amp;offset=0&amp;query=any,contains,991001271429702656","Catalog Record")</f>
        <v/>
      </c>
      <c r="AT72">
        <f>HYPERLINK("http://www.worldcat.org/oclc/17841453","WorldCat Record")</f>
        <v/>
      </c>
      <c r="AU72" t="inlineStr">
        <is>
          <t>836869575:eng</t>
        </is>
      </c>
      <c r="AV72" t="inlineStr">
        <is>
          <t>17841453</t>
        </is>
      </c>
      <c r="AW72" t="inlineStr">
        <is>
          <t>991001271429702656</t>
        </is>
      </c>
      <c r="AX72" t="inlineStr">
        <is>
          <t>991001271429702656</t>
        </is>
      </c>
      <c r="AY72" t="inlineStr">
        <is>
          <t>2268955220002656</t>
        </is>
      </c>
      <c r="AZ72" t="inlineStr">
        <is>
          <t>BOOK</t>
        </is>
      </c>
      <c r="BB72" t="inlineStr">
        <is>
          <t>9780814754429</t>
        </is>
      </c>
      <c r="BC72" t="inlineStr">
        <is>
          <t>32285000280825</t>
        </is>
      </c>
      <c r="BD72" t="inlineStr">
        <is>
          <t>893872422</t>
        </is>
      </c>
    </row>
    <row r="73">
      <c r="A73" t="inlineStr">
        <is>
          <t>No</t>
        </is>
      </c>
      <c r="B73" t="inlineStr">
        <is>
          <t>BF109.T43 J6</t>
        </is>
      </c>
      <c r="C73" t="inlineStr">
        <is>
          <t>0                      BF 0109000T  43                 J  6</t>
        </is>
      </c>
      <c r="D73" t="inlineStr">
        <is>
          <t>The sane positivist : a biography of Edward L. Thorndike / by Geraldine Jonçich.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Clifford, Geraldine Jonçich.</t>
        </is>
      </c>
      <c r="L73" t="inlineStr">
        <is>
          <t>Middletown, Conn. : Wesleyan University Press, [1968]</t>
        </is>
      </c>
      <c r="M73" t="inlineStr">
        <is>
          <t>1968</t>
        </is>
      </c>
      <c r="N73" t="inlineStr">
        <is>
          <t>[1st ed.]</t>
        </is>
      </c>
      <c r="O73" t="inlineStr">
        <is>
          <t>eng</t>
        </is>
      </c>
      <c r="P73" t="inlineStr">
        <is>
          <t>ctu</t>
        </is>
      </c>
      <c r="R73" t="inlineStr">
        <is>
          <t xml:space="preserve">BF </t>
        </is>
      </c>
      <c r="S73" t="n">
        <v>2</v>
      </c>
      <c r="T73" t="n">
        <v>2</v>
      </c>
      <c r="U73" t="inlineStr">
        <is>
          <t>1999-10-04</t>
        </is>
      </c>
      <c r="V73" t="inlineStr">
        <is>
          <t>1999-10-04</t>
        </is>
      </c>
      <c r="W73" t="inlineStr">
        <is>
          <t>1995-06-13</t>
        </is>
      </c>
      <c r="X73" t="inlineStr">
        <is>
          <t>1995-06-13</t>
        </is>
      </c>
      <c r="Y73" t="n">
        <v>616</v>
      </c>
      <c r="Z73" t="n">
        <v>560</v>
      </c>
      <c r="AA73" t="n">
        <v>563</v>
      </c>
      <c r="AB73" t="n">
        <v>6</v>
      </c>
      <c r="AC73" t="n">
        <v>6</v>
      </c>
      <c r="AD73" t="n">
        <v>35</v>
      </c>
      <c r="AE73" t="n">
        <v>35</v>
      </c>
      <c r="AF73" t="n">
        <v>15</v>
      </c>
      <c r="AG73" t="n">
        <v>15</v>
      </c>
      <c r="AH73" t="n">
        <v>8</v>
      </c>
      <c r="AI73" t="n">
        <v>8</v>
      </c>
      <c r="AJ73" t="n">
        <v>15</v>
      </c>
      <c r="AK73" t="n">
        <v>15</v>
      </c>
      <c r="AL73" t="n">
        <v>5</v>
      </c>
      <c r="AM73" t="n">
        <v>5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HYPERLINK("http://catalog.hathitrust.org/Record/000581666","HathiTrust Record")</f>
        <v/>
      </c>
      <c r="AS73">
        <f>HYPERLINK("https://creighton-primo.hosted.exlibrisgroup.com/primo-explore/search?tab=default_tab&amp;search_scope=EVERYTHING&amp;vid=01CRU&amp;lang=en_US&amp;offset=0&amp;query=any,contains,991001204599702656","Catalog Record")</f>
        <v/>
      </c>
      <c r="AT73">
        <f>HYPERLINK("http://www.worldcat.org/oclc/191701","WorldCat Record")</f>
        <v/>
      </c>
      <c r="AU73" t="inlineStr">
        <is>
          <t>308766691:eng</t>
        </is>
      </c>
      <c r="AV73" t="inlineStr">
        <is>
          <t>191701</t>
        </is>
      </c>
      <c r="AW73" t="inlineStr">
        <is>
          <t>991001204599702656</t>
        </is>
      </c>
      <c r="AX73" t="inlineStr">
        <is>
          <t>991001204599702656</t>
        </is>
      </c>
      <c r="AY73" t="inlineStr">
        <is>
          <t>2258941210002656</t>
        </is>
      </c>
      <c r="AZ73" t="inlineStr">
        <is>
          <t>BOOK</t>
        </is>
      </c>
      <c r="BC73" t="inlineStr">
        <is>
          <t>32285002060571</t>
        </is>
      </c>
      <c r="BD73" t="inlineStr">
        <is>
          <t>893772396</t>
        </is>
      </c>
    </row>
    <row r="74">
      <c r="A74" t="inlineStr">
        <is>
          <t>No</t>
        </is>
      </c>
      <c r="B74" t="inlineStr">
        <is>
          <t>BF1091 .C66 1977</t>
        </is>
      </c>
      <c r="C74" t="inlineStr">
        <is>
          <t>0                      BF 1091000C  66          1977</t>
        </is>
      </c>
      <c r="D74" t="inlineStr">
        <is>
          <t>The dream makers : discovering your breakthrough dreams / by Richard Corriere and Joseph Hart.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Corriere, Richard.</t>
        </is>
      </c>
      <c r="L74" t="inlineStr">
        <is>
          <t>New York : Funk &amp; Wagnalls, c1977.</t>
        </is>
      </c>
      <c r="M74" t="inlineStr">
        <is>
          <t>1977</t>
        </is>
      </c>
      <c r="O74" t="inlineStr">
        <is>
          <t>eng</t>
        </is>
      </c>
      <c r="P74" t="inlineStr">
        <is>
          <t>nyu</t>
        </is>
      </c>
      <c r="R74" t="inlineStr">
        <is>
          <t xml:space="preserve">BF </t>
        </is>
      </c>
      <c r="S74" t="n">
        <v>11</v>
      </c>
      <c r="T74" t="n">
        <v>11</v>
      </c>
      <c r="U74" t="inlineStr">
        <is>
          <t>1997-10-08</t>
        </is>
      </c>
      <c r="V74" t="inlineStr">
        <is>
          <t>1997-10-08</t>
        </is>
      </c>
      <c r="W74" t="inlineStr">
        <is>
          <t>1992-11-07</t>
        </is>
      </c>
      <c r="X74" t="inlineStr">
        <is>
          <t>1992-11-07</t>
        </is>
      </c>
      <c r="Y74" t="n">
        <v>290</v>
      </c>
      <c r="Z74" t="n">
        <v>273</v>
      </c>
      <c r="AA74" t="n">
        <v>281</v>
      </c>
      <c r="AB74" t="n">
        <v>2</v>
      </c>
      <c r="AC74" t="n">
        <v>2</v>
      </c>
      <c r="AD74" t="n">
        <v>2</v>
      </c>
      <c r="AE74" t="n">
        <v>2</v>
      </c>
      <c r="AF74" t="n">
        <v>1</v>
      </c>
      <c r="AG74" t="n">
        <v>1</v>
      </c>
      <c r="AH74" t="n">
        <v>0</v>
      </c>
      <c r="AI74" t="n">
        <v>0</v>
      </c>
      <c r="AJ74" t="n">
        <v>0</v>
      </c>
      <c r="AK74" t="n">
        <v>0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HYPERLINK("https://creighton-primo.hosted.exlibrisgroup.com/primo-explore/search?tab=default_tab&amp;search_scope=EVERYTHING&amp;vid=01CRU&amp;lang=en_US&amp;offset=0&amp;query=any,contains,991004150439702656","Catalog Record")</f>
        <v/>
      </c>
      <c r="AT74">
        <f>HYPERLINK("http://www.worldcat.org/oclc/2523552","WorldCat Record")</f>
        <v/>
      </c>
      <c r="AU74" t="inlineStr">
        <is>
          <t>1255045657:eng</t>
        </is>
      </c>
      <c r="AV74" t="inlineStr">
        <is>
          <t>2523552</t>
        </is>
      </c>
      <c r="AW74" t="inlineStr">
        <is>
          <t>991004150439702656</t>
        </is>
      </c>
      <c r="AX74" t="inlineStr">
        <is>
          <t>991004150439702656</t>
        </is>
      </c>
      <c r="AY74" t="inlineStr">
        <is>
          <t>2267600700002656</t>
        </is>
      </c>
      <c r="AZ74" t="inlineStr">
        <is>
          <t>BOOK</t>
        </is>
      </c>
      <c r="BB74" t="inlineStr">
        <is>
          <t>9780308102767</t>
        </is>
      </c>
      <c r="BC74" t="inlineStr">
        <is>
          <t>32285001383552</t>
        </is>
      </c>
      <c r="BD74" t="inlineStr">
        <is>
          <t>893624404</t>
        </is>
      </c>
    </row>
    <row r="75">
      <c r="A75" t="inlineStr">
        <is>
          <t>No</t>
        </is>
      </c>
      <c r="B75" t="inlineStr">
        <is>
          <t>BF1091 .D38 1988</t>
        </is>
      </c>
      <c r="C75" t="inlineStr">
        <is>
          <t>0                      BF 1091000D  38          1988</t>
        </is>
      </c>
      <c r="D75" t="inlineStr">
        <is>
          <t>Living your dreams : using sleep to solve problems and enrich your life / Gayle M.V. Delaney.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Delaney, Gayle M. V.</t>
        </is>
      </c>
      <c r="L75" t="inlineStr">
        <is>
          <t>San Francisco : Harper &amp; Row, c1988.</t>
        </is>
      </c>
      <c r="M75" t="inlineStr">
        <is>
          <t>1988</t>
        </is>
      </c>
      <c r="N75" t="inlineStr">
        <is>
          <t>Rev. and expanded ed.</t>
        </is>
      </c>
      <c r="O75" t="inlineStr">
        <is>
          <t>eng</t>
        </is>
      </c>
      <c r="P75" t="inlineStr">
        <is>
          <t>cau</t>
        </is>
      </c>
      <c r="R75" t="inlineStr">
        <is>
          <t xml:space="preserve">BF </t>
        </is>
      </c>
      <c r="S75" t="n">
        <v>9</v>
      </c>
      <c r="T75" t="n">
        <v>9</v>
      </c>
      <c r="U75" t="inlineStr">
        <is>
          <t>2008-11-20</t>
        </is>
      </c>
      <c r="V75" t="inlineStr">
        <is>
          <t>2008-11-20</t>
        </is>
      </c>
      <c r="W75" t="inlineStr">
        <is>
          <t>1999-01-25</t>
        </is>
      </c>
      <c r="X75" t="inlineStr">
        <is>
          <t>1999-01-25</t>
        </is>
      </c>
      <c r="Y75" t="n">
        <v>134</v>
      </c>
      <c r="Z75" t="n">
        <v>120</v>
      </c>
      <c r="AA75" t="n">
        <v>128</v>
      </c>
      <c r="AB75" t="n">
        <v>3</v>
      </c>
      <c r="AC75" t="n">
        <v>3</v>
      </c>
      <c r="AD75" t="n">
        <v>1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1</v>
      </c>
      <c r="AM75" t="n">
        <v>1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HYPERLINK("http://catalog.hathitrust.org/Record/008880734","HathiTrust Record")</f>
        <v/>
      </c>
      <c r="AS75">
        <f>HYPERLINK("https://creighton-primo.hosted.exlibrisgroup.com/primo-explore/search?tab=default_tab&amp;search_scope=EVERYTHING&amp;vid=01CRU&amp;lang=en_US&amp;offset=0&amp;query=any,contains,991001311039702656","Catalog Record")</f>
        <v/>
      </c>
      <c r="AT75">
        <f>HYPERLINK("http://www.worldcat.org/oclc/18136837","WorldCat Record")</f>
        <v/>
      </c>
      <c r="AU75" t="inlineStr">
        <is>
          <t>3856105896:eng</t>
        </is>
      </c>
      <c r="AV75" t="inlineStr">
        <is>
          <t>18136837</t>
        </is>
      </c>
      <c r="AW75" t="inlineStr">
        <is>
          <t>991001311039702656</t>
        </is>
      </c>
      <c r="AX75" t="inlineStr">
        <is>
          <t>991001311039702656</t>
        </is>
      </c>
      <c r="AY75" t="inlineStr">
        <is>
          <t>2267981710002656</t>
        </is>
      </c>
      <c r="AZ75" t="inlineStr">
        <is>
          <t>BOOK</t>
        </is>
      </c>
      <c r="BB75" t="inlineStr">
        <is>
          <t>9780062502025</t>
        </is>
      </c>
      <c r="BC75" t="inlineStr">
        <is>
          <t>32285003515797</t>
        </is>
      </c>
      <c r="BD75" t="inlineStr">
        <is>
          <t>893328054</t>
        </is>
      </c>
    </row>
    <row r="76">
      <c r="A76" t="inlineStr">
        <is>
          <t>No</t>
        </is>
      </c>
      <c r="B76" t="inlineStr">
        <is>
          <t>BF1091 .F36 1976</t>
        </is>
      </c>
      <c r="C76" t="inlineStr">
        <is>
          <t>0                      BF 1091000F  36          1976</t>
        </is>
      </c>
      <c r="D76" t="inlineStr">
        <is>
          <t>The dream game / by Ann Faraday.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Faraday, Ann.</t>
        </is>
      </c>
      <c r="L76" t="inlineStr">
        <is>
          <t>New York, Perennial Library, 1976.</t>
        </is>
      </c>
      <c r="M76" t="inlineStr">
        <is>
          <t>1976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BF </t>
        </is>
      </c>
      <c r="S76" t="n">
        <v>20</v>
      </c>
      <c r="T76" t="n">
        <v>20</v>
      </c>
      <c r="U76" t="inlineStr">
        <is>
          <t>2004-09-20</t>
        </is>
      </c>
      <c r="V76" t="inlineStr">
        <is>
          <t>2004-09-20</t>
        </is>
      </c>
      <c r="W76" t="inlineStr">
        <is>
          <t>1990-04-10</t>
        </is>
      </c>
      <c r="X76" t="inlineStr">
        <is>
          <t>1990-04-10</t>
        </is>
      </c>
      <c r="Y76" t="n">
        <v>147</v>
      </c>
      <c r="Z76" t="n">
        <v>137</v>
      </c>
      <c r="AA76" t="n">
        <v>610</v>
      </c>
      <c r="AB76" t="n">
        <v>1</v>
      </c>
      <c r="AC76" t="n">
        <v>5</v>
      </c>
      <c r="AD76" t="n">
        <v>0</v>
      </c>
      <c r="AE76" t="n">
        <v>9</v>
      </c>
      <c r="AF76" t="n">
        <v>0</v>
      </c>
      <c r="AG76" t="n">
        <v>2</v>
      </c>
      <c r="AH76" t="n">
        <v>0</v>
      </c>
      <c r="AI76" t="n">
        <v>2</v>
      </c>
      <c r="AJ76" t="n">
        <v>0</v>
      </c>
      <c r="AK76" t="n">
        <v>5</v>
      </c>
      <c r="AL76" t="n">
        <v>0</v>
      </c>
      <c r="AM76" t="n">
        <v>1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HYPERLINK("http://catalog.hathitrust.org/Record/102036268","HathiTrust Record")</f>
        <v/>
      </c>
      <c r="AS76">
        <f>HYPERLINK("https://creighton-primo.hosted.exlibrisgroup.com/primo-explore/search?tab=default_tab&amp;search_scope=EVERYTHING&amp;vid=01CRU&amp;lang=en_US&amp;offset=0&amp;query=any,contains,991004233749702656","Catalog Record")</f>
        <v/>
      </c>
      <c r="AT76">
        <f>HYPERLINK("http://www.worldcat.org/oclc/2757118","WorldCat Record")</f>
        <v/>
      </c>
      <c r="AU76" t="inlineStr">
        <is>
          <t>1928303:eng</t>
        </is>
      </c>
      <c r="AV76" t="inlineStr">
        <is>
          <t>2757118</t>
        </is>
      </c>
      <c r="AW76" t="inlineStr">
        <is>
          <t>991004233749702656</t>
        </is>
      </c>
      <c r="AX76" t="inlineStr">
        <is>
          <t>991004233749702656</t>
        </is>
      </c>
      <c r="AY76" t="inlineStr">
        <is>
          <t>2261168200002656</t>
        </is>
      </c>
      <c r="AZ76" t="inlineStr">
        <is>
          <t>BOOK</t>
        </is>
      </c>
      <c r="BB76" t="inlineStr">
        <is>
          <t>9780060803711</t>
        </is>
      </c>
      <c r="BC76" t="inlineStr">
        <is>
          <t>32285000120666</t>
        </is>
      </c>
      <c r="BD76" t="inlineStr">
        <is>
          <t>893512990</t>
        </is>
      </c>
    </row>
    <row r="77">
      <c r="A77" t="inlineStr">
        <is>
          <t>No</t>
        </is>
      </c>
      <c r="B77" t="inlineStr">
        <is>
          <t>BF1091 .F37</t>
        </is>
      </c>
      <c r="C77" t="inlineStr">
        <is>
          <t>0                      BF 1091000F  37</t>
        </is>
      </c>
      <c r="D77" t="inlineStr">
        <is>
          <t>Dream power.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Faraday, Ann.</t>
        </is>
      </c>
      <c r="L77" t="inlineStr">
        <is>
          <t>New York : Coward, McCann &amp; Geoghegan, [1972]</t>
        </is>
      </c>
      <c r="M77" t="inlineStr">
        <is>
          <t>1972</t>
        </is>
      </c>
      <c r="O77" t="inlineStr">
        <is>
          <t>eng</t>
        </is>
      </c>
      <c r="P77" t="inlineStr">
        <is>
          <t>nyu</t>
        </is>
      </c>
      <c r="R77" t="inlineStr">
        <is>
          <t xml:space="preserve">BF </t>
        </is>
      </c>
      <c r="S77" t="n">
        <v>18</v>
      </c>
      <c r="T77" t="n">
        <v>18</v>
      </c>
      <c r="U77" t="inlineStr">
        <is>
          <t>2003-02-06</t>
        </is>
      </c>
      <c r="V77" t="inlineStr">
        <is>
          <t>2003-02-06</t>
        </is>
      </c>
      <c r="W77" t="inlineStr">
        <is>
          <t>1991-05-20</t>
        </is>
      </c>
      <c r="X77" t="inlineStr">
        <is>
          <t>1991-05-20</t>
        </is>
      </c>
      <c r="Y77" t="n">
        <v>322</v>
      </c>
      <c r="Z77" t="n">
        <v>307</v>
      </c>
      <c r="AA77" t="n">
        <v>537</v>
      </c>
      <c r="AB77" t="n">
        <v>1</v>
      </c>
      <c r="AC77" t="n">
        <v>2</v>
      </c>
      <c r="AD77" t="n">
        <v>4</v>
      </c>
      <c r="AE77" t="n">
        <v>7</v>
      </c>
      <c r="AF77" t="n">
        <v>1</v>
      </c>
      <c r="AG77" t="n">
        <v>4</v>
      </c>
      <c r="AH77" t="n">
        <v>1</v>
      </c>
      <c r="AI77" t="n">
        <v>1</v>
      </c>
      <c r="AJ77" t="n">
        <v>3</v>
      </c>
      <c r="AK77" t="n">
        <v>3</v>
      </c>
      <c r="AL77" t="n">
        <v>0</v>
      </c>
      <c r="AM77" t="n">
        <v>0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HYPERLINK("http://catalog.hathitrust.org/Record/000473881","HathiTrust Record")</f>
        <v/>
      </c>
      <c r="AS77">
        <f>HYPERLINK("https://creighton-primo.hosted.exlibrisgroup.com/primo-explore/search?tab=default_tab&amp;search_scope=EVERYTHING&amp;vid=01CRU&amp;lang=en_US&amp;offset=0&amp;query=any,contains,991002180469702656","Catalog Record")</f>
        <v/>
      </c>
      <c r="AT77">
        <f>HYPERLINK("http://www.worldcat.org/oclc/278946","WorldCat Record")</f>
        <v/>
      </c>
      <c r="AU77" t="inlineStr">
        <is>
          <t>1421861:eng</t>
        </is>
      </c>
      <c r="AV77" t="inlineStr">
        <is>
          <t>278946</t>
        </is>
      </c>
      <c r="AW77" t="inlineStr">
        <is>
          <t>991002180469702656</t>
        </is>
      </c>
      <c r="AX77" t="inlineStr">
        <is>
          <t>991002180469702656</t>
        </is>
      </c>
      <c r="AY77" t="inlineStr">
        <is>
          <t>2258262900002656</t>
        </is>
      </c>
      <c r="AZ77" t="inlineStr">
        <is>
          <t>BOOK</t>
        </is>
      </c>
      <c r="BC77" t="inlineStr">
        <is>
          <t>32285000597566</t>
        </is>
      </c>
      <c r="BD77" t="inlineStr">
        <is>
          <t>893892247</t>
        </is>
      </c>
    </row>
    <row r="78">
      <c r="A78" t="inlineStr">
        <is>
          <t>No</t>
        </is>
      </c>
      <c r="B78" t="inlineStr">
        <is>
          <t>BF1091 .G9</t>
        </is>
      </c>
      <c r="C78" t="inlineStr">
        <is>
          <t>0                      BF 1091000G  9</t>
        </is>
      </c>
      <c r="D78" t="inlineStr">
        <is>
          <t>The handbook of dream analysis.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Gutheil, Emil Arthur, 1899-1959.</t>
        </is>
      </c>
      <c r="L78" t="inlineStr">
        <is>
          <t>New York : Liveright, [c1951]</t>
        </is>
      </c>
      <c r="M78" t="inlineStr">
        <is>
          <t>1951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BF </t>
        </is>
      </c>
      <c r="S78" t="n">
        <v>33</v>
      </c>
      <c r="T78" t="n">
        <v>33</v>
      </c>
      <c r="U78" t="inlineStr">
        <is>
          <t>2008-11-20</t>
        </is>
      </c>
      <c r="V78" t="inlineStr">
        <is>
          <t>2008-11-20</t>
        </is>
      </c>
      <c r="W78" t="inlineStr">
        <is>
          <t>1992-05-08</t>
        </is>
      </c>
      <c r="X78" t="inlineStr">
        <is>
          <t>1992-05-08</t>
        </is>
      </c>
      <c r="Y78" t="n">
        <v>289</v>
      </c>
      <c r="Z78" t="n">
        <v>242</v>
      </c>
      <c r="AA78" t="n">
        <v>431</v>
      </c>
      <c r="AB78" t="n">
        <v>1</v>
      </c>
      <c r="AC78" t="n">
        <v>1</v>
      </c>
      <c r="AD78" t="n">
        <v>5</v>
      </c>
      <c r="AE78" t="n">
        <v>8</v>
      </c>
      <c r="AF78" t="n">
        <v>4</v>
      </c>
      <c r="AG78" t="n">
        <v>5</v>
      </c>
      <c r="AH78" t="n">
        <v>0</v>
      </c>
      <c r="AI78" t="n">
        <v>0</v>
      </c>
      <c r="AJ78" t="n">
        <v>2</v>
      </c>
      <c r="AK78" t="n">
        <v>5</v>
      </c>
      <c r="AL78" t="n">
        <v>0</v>
      </c>
      <c r="AM78" t="n">
        <v>0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HYPERLINK("http://catalog.hathitrust.org/Record/000431715","HathiTrust Record")</f>
        <v/>
      </c>
      <c r="AS78">
        <f>HYPERLINK("https://creighton-primo.hosted.exlibrisgroup.com/primo-explore/search?tab=default_tab&amp;search_scope=EVERYTHING&amp;vid=01CRU&amp;lang=en_US&amp;offset=0&amp;query=any,contains,991001289929702656","Catalog Record")</f>
        <v/>
      </c>
      <c r="AT78">
        <f>HYPERLINK("http://www.worldcat.org/oclc/217753","WorldCat Record")</f>
        <v/>
      </c>
      <c r="AU78" t="inlineStr">
        <is>
          <t>517548:eng</t>
        </is>
      </c>
      <c r="AV78" t="inlineStr">
        <is>
          <t>217753</t>
        </is>
      </c>
      <c r="AW78" t="inlineStr">
        <is>
          <t>991001289929702656</t>
        </is>
      </c>
      <c r="AX78" t="inlineStr">
        <is>
          <t>991001289929702656</t>
        </is>
      </c>
      <c r="AY78" t="inlineStr">
        <is>
          <t>2258848920002656</t>
        </is>
      </c>
      <c r="AZ78" t="inlineStr">
        <is>
          <t>BOOK</t>
        </is>
      </c>
      <c r="BC78" t="inlineStr">
        <is>
          <t>32285001106169</t>
        </is>
      </c>
      <c r="BD78" t="inlineStr">
        <is>
          <t>893503293</t>
        </is>
      </c>
    </row>
    <row r="79">
      <c r="A79" t="inlineStr">
        <is>
          <t>No</t>
        </is>
      </c>
      <c r="B79" t="inlineStr">
        <is>
          <t>BF1121 .S5</t>
        </is>
      </c>
      <c r="C79" t="inlineStr">
        <is>
          <t>0                      BF 1121000S  5</t>
        </is>
      </c>
      <c r="D79" t="inlineStr">
        <is>
          <t>The nature of hypnosis : selected basic readings / edited by Ronald E. Shor and Martin T. Orne.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Shor, Ronald E. editor.</t>
        </is>
      </c>
      <c r="L79" t="inlineStr">
        <is>
          <t>New York : Holt, Rinehart and Winston, [1965]</t>
        </is>
      </c>
      <c r="M79" t="inlineStr">
        <is>
          <t>1965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BF </t>
        </is>
      </c>
      <c r="S79" t="n">
        <v>10</v>
      </c>
      <c r="T79" t="n">
        <v>10</v>
      </c>
      <c r="U79" t="inlineStr">
        <is>
          <t>1999-09-22</t>
        </is>
      </c>
      <c r="V79" t="inlineStr">
        <is>
          <t>1999-09-22</t>
        </is>
      </c>
      <c r="W79" t="inlineStr">
        <is>
          <t>1992-04-06</t>
        </is>
      </c>
      <c r="X79" t="inlineStr">
        <is>
          <t>1992-04-06</t>
        </is>
      </c>
      <c r="Y79" t="n">
        <v>497</v>
      </c>
      <c r="Z79" t="n">
        <v>414</v>
      </c>
      <c r="AA79" t="n">
        <v>416</v>
      </c>
      <c r="AB79" t="n">
        <v>4</v>
      </c>
      <c r="AC79" t="n">
        <v>4</v>
      </c>
      <c r="AD79" t="n">
        <v>20</v>
      </c>
      <c r="AE79" t="n">
        <v>20</v>
      </c>
      <c r="AF79" t="n">
        <v>5</v>
      </c>
      <c r="AG79" t="n">
        <v>5</v>
      </c>
      <c r="AH79" t="n">
        <v>3</v>
      </c>
      <c r="AI79" t="n">
        <v>3</v>
      </c>
      <c r="AJ79" t="n">
        <v>13</v>
      </c>
      <c r="AK79" t="n">
        <v>13</v>
      </c>
      <c r="AL79" t="n">
        <v>3</v>
      </c>
      <c r="AM79" t="n">
        <v>3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HYPERLINK("http://catalog.hathitrust.org/Record/000474393","HathiTrust Record")</f>
        <v/>
      </c>
      <c r="AS79">
        <f>HYPERLINK("https://creighton-primo.hosted.exlibrisgroup.com/primo-explore/search?tab=default_tab&amp;search_scope=EVERYTHING&amp;vid=01CRU&amp;lang=en_US&amp;offset=0&amp;query=any,contains,991003179489702656","Catalog Record")</f>
        <v/>
      </c>
      <c r="AT79">
        <f>HYPERLINK("http://www.worldcat.org/oclc/711452","WorldCat Record")</f>
        <v/>
      </c>
      <c r="AU79" t="inlineStr">
        <is>
          <t>836664370:eng</t>
        </is>
      </c>
      <c r="AV79" t="inlineStr">
        <is>
          <t>711452</t>
        </is>
      </c>
      <c r="AW79" t="inlineStr">
        <is>
          <t>991003179489702656</t>
        </is>
      </c>
      <c r="AX79" t="inlineStr">
        <is>
          <t>991003179489702656</t>
        </is>
      </c>
      <c r="AY79" t="inlineStr">
        <is>
          <t>2262042230002656</t>
        </is>
      </c>
      <c r="AZ79" t="inlineStr">
        <is>
          <t>BOOK</t>
        </is>
      </c>
      <c r="BC79" t="inlineStr">
        <is>
          <t>32285001034924</t>
        </is>
      </c>
      <c r="BD79" t="inlineStr">
        <is>
          <t>893409990</t>
        </is>
      </c>
    </row>
    <row r="80">
      <c r="A80" t="inlineStr">
        <is>
          <t>No</t>
        </is>
      </c>
      <c r="B80" t="inlineStr">
        <is>
          <t>BF1125 .S5</t>
        </is>
      </c>
      <c r="C80" t="inlineStr">
        <is>
          <t>0                      BF 1125000S  5</t>
        </is>
      </c>
      <c r="D80" t="inlineStr">
        <is>
          <t>Methodologies of hypnosis : a critical appraisal of contemporary paradigms of hypnosis / Peter W. Sheehan, Campbell W. Perry.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K80" t="inlineStr">
        <is>
          <t>Sheehan, Peter W.</t>
        </is>
      </c>
      <c r="L80" t="inlineStr">
        <is>
          <t>Hillsdale, N.J. : Lawrence Erlbaum Associates : distributed by Halsted Press Division, Wiley, 1976.</t>
        </is>
      </c>
      <c r="M80" t="inlineStr">
        <is>
          <t>1976</t>
        </is>
      </c>
      <c r="O80" t="inlineStr">
        <is>
          <t>eng</t>
        </is>
      </c>
      <c r="P80" t="inlineStr">
        <is>
          <t>nju</t>
        </is>
      </c>
      <c r="R80" t="inlineStr">
        <is>
          <t xml:space="preserve">BF </t>
        </is>
      </c>
      <c r="S80" t="n">
        <v>10</v>
      </c>
      <c r="T80" t="n">
        <v>10</v>
      </c>
      <c r="U80" t="inlineStr">
        <is>
          <t>1996-09-23</t>
        </is>
      </c>
      <c r="V80" t="inlineStr">
        <is>
          <t>1996-09-23</t>
        </is>
      </c>
      <c r="W80" t="inlineStr">
        <is>
          <t>1990-03-12</t>
        </is>
      </c>
      <c r="X80" t="inlineStr">
        <is>
          <t>1990-03-12</t>
        </is>
      </c>
      <c r="Y80" t="n">
        <v>479</v>
      </c>
      <c r="Z80" t="n">
        <v>389</v>
      </c>
      <c r="AA80" t="n">
        <v>428</v>
      </c>
      <c r="AB80" t="n">
        <v>5</v>
      </c>
      <c r="AC80" t="n">
        <v>5</v>
      </c>
      <c r="AD80" t="n">
        <v>22</v>
      </c>
      <c r="AE80" t="n">
        <v>23</v>
      </c>
      <c r="AF80" t="n">
        <v>8</v>
      </c>
      <c r="AG80" t="n">
        <v>9</v>
      </c>
      <c r="AH80" t="n">
        <v>5</v>
      </c>
      <c r="AI80" t="n">
        <v>5</v>
      </c>
      <c r="AJ80" t="n">
        <v>9</v>
      </c>
      <c r="AK80" t="n">
        <v>9</v>
      </c>
      <c r="AL80" t="n">
        <v>4</v>
      </c>
      <c r="AM80" t="n">
        <v>4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HYPERLINK("http://catalog.hathitrust.org/Record/000685096","HathiTrust Record")</f>
        <v/>
      </c>
      <c r="AS80">
        <f>HYPERLINK("https://creighton-primo.hosted.exlibrisgroup.com/primo-explore/search?tab=default_tab&amp;search_scope=EVERYTHING&amp;vid=01CRU&amp;lang=en_US&amp;offset=0&amp;query=any,contains,991003988109702656","Catalog Record")</f>
        <v/>
      </c>
      <c r="AT80">
        <f>HYPERLINK("http://www.worldcat.org/oclc/2035166","WorldCat Record")</f>
        <v/>
      </c>
      <c r="AU80" t="inlineStr">
        <is>
          <t>286011188:eng</t>
        </is>
      </c>
      <c r="AV80" t="inlineStr">
        <is>
          <t>2035166</t>
        </is>
      </c>
      <c r="AW80" t="inlineStr">
        <is>
          <t>991003988109702656</t>
        </is>
      </c>
      <c r="AX80" t="inlineStr">
        <is>
          <t>991003988109702656</t>
        </is>
      </c>
      <c r="AY80" t="inlineStr">
        <is>
          <t>2268766970002656</t>
        </is>
      </c>
      <c r="AZ80" t="inlineStr">
        <is>
          <t>BOOK</t>
        </is>
      </c>
      <c r="BB80" t="inlineStr">
        <is>
          <t>9780470150283</t>
        </is>
      </c>
      <c r="BC80" t="inlineStr">
        <is>
          <t>32285000081447</t>
        </is>
      </c>
      <c r="BD80" t="inlineStr">
        <is>
          <t>893888189</t>
        </is>
      </c>
    </row>
    <row r="81">
      <c r="A81" t="inlineStr">
        <is>
          <t>No</t>
        </is>
      </c>
      <c r="B81" t="inlineStr">
        <is>
          <t>BF1141 .B68 1976</t>
        </is>
      </c>
      <c r="C81" t="inlineStr">
        <is>
          <t>0                      BF 1141000B  68          1976</t>
        </is>
      </c>
      <c r="D81" t="inlineStr">
        <is>
          <t>Hypnosis for the seriously curious / Kenneth S. Bowers.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Bowers, Kenneth S.</t>
        </is>
      </c>
      <c r="L81" t="inlineStr">
        <is>
          <t>Monterey, Calif. : Brooks/Cole Pub. Co., c1976.</t>
        </is>
      </c>
      <c r="M81" t="inlineStr">
        <is>
          <t>1976</t>
        </is>
      </c>
      <c r="O81" t="inlineStr">
        <is>
          <t>eng</t>
        </is>
      </c>
      <c r="P81" t="inlineStr">
        <is>
          <t>cau</t>
        </is>
      </c>
      <c r="Q81" t="inlineStr">
        <is>
          <t>Contemporary psychology series</t>
        </is>
      </c>
      <c r="R81" t="inlineStr">
        <is>
          <t xml:space="preserve">BF </t>
        </is>
      </c>
      <c r="S81" t="n">
        <v>36</v>
      </c>
      <c r="T81" t="n">
        <v>36</v>
      </c>
      <c r="U81" t="inlineStr">
        <is>
          <t>2001-03-12</t>
        </is>
      </c>
      <c r="V81" t="inlineStr">
        <is>
          <t>2001-03-12</t>
        </is>
      </c>
      <c r="W81" t="inlineStr">
        <is>
          <t>1990-02-21</t>
        </is>
      </c>
      <c r="X81" t="inlineStr">
        <is>
          <t>1990-02-21</t>
        </is>
      </c>
      <c r="Y81" t="n">
        <v>340</v>
      </c>
      <c r="Z81" t="n">
        <v>294</v>
      </c>
      <c r="AA81" t="n">
        <v>487</v>
      </c>
      <c r="AB81" t="n">
        <v>2</v>
      </c>
      <c r="AC81" t="n">
        <v>5</v>
      </c>
      <c r="AD81" t="n">
        <v>13</v>
      </c>
      <c r="AE81" t="n">
        <v>25</v>
      </c>
      <c r="AF81" t="n">
        <v>3</v>
      </c>
      <c r="AG81" t="n">
        <v>8</v>
      </c>
      <c r="AH81" t="n">
        <v>4</v>
      </c>
      <c r="AI81" t="n">
        <v>5</v>
      </c>
      <c r="AJ81" t="n">
        <v>6</v>
      </c>
      <c r="AK81" t="n">
        <v>11</v>
      </c>
      <c r="AL81" t="n">
        <v>1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HYPERLINK("http://catalog.hathitrust.org/Record/000690401","HathiTrust Record")</f>
        <v/>
      </c>
      <c r="AS81">
        <f>HYPERLINK("https://creighton-primo.hosted.exlibrisgroup.com/primo-explore/search?tab=default_tab&amp;search_scope=EVERYTHING&amp;vid=01CRU&amp;lang=en_US&amp;offset=0&amp;query=any,contains,991004050859702656","Catalog Record")</f>
        <v/>
      </c>
      <c r="AT81">
        <f>HYPERLINK("http://www.worldcat.org/oclc/2212825","WorldCat Record")</f>
        <v/>
      </c>
      <c r="AU81" t="inlineStr">
        <is>
          <t>2643319:eng</t>
        </is>
      </c>
      <c r="AV81" t="inlineStr">
        <is>
          <t>2212825</t>
        </is>
      </c>
      <c r="AW81" t="inlineStr">
        <is>
          <t>991004050859702656</t>
        </is>
      </c>
      <c r="AX81" t="inlineStr">
        <is>
          <t>991004050859702656</t>
        </is>
      </c>
      <c r="AY81" t="inlineStr">
        <is>
          <t>2255591900002656</t>
        </is>
      </c>
      <c r="AZ81" t="inlineStr">
        <is>
          <t>BOOK</t>
        </is>
      </c>
      <c r="BB81" t="inlineStr">
        <is>
          <t>9780818501814</t>
        </is>
      </c>
      <c r="BC81" t="inlineStr">
        <is>
          <t>32285000058122</t>
        </is>
      </c>
      <c r="BD81" t="inlineStr">
        <is>
          <t>893800528</t>
        </is>
      </c>
    </row>
    <row r="82">
      <c r="A82" t="inlineStr">
        <is>
          <t>No</t>
        </is>
      </c>
      <c r="B82" t="inlineStr">
        <is>
          <t>BF1141 .E517 1986</t>
        </is>
      </c>
      <c r="C82" t="inlineStr">
        <is>
          <t>0                      BF 1141000E  517         1986</t>
        </is>
      </c>
      <c r="D82" t="inlineStr">
        <is>
          <t>The induction of hypnosis / William E. Edmonston, Jr.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Edmonston, William E.</t>
        </is>
      </c>
      <c r="L82" t="inlineStr">
        <is>
          <t>New York : Wiley, c1986.</t>
        </is>
      </c>
      <c r="M82" t="inlineStr">
        <is>
          <t>1985</t>
        </is>
      </c>
      <c r="O82" t="inlineStr">
        <is>
          <t>eng</t>
        </is>
      </c>
      <c r="P82" t="inlineStr">
        <is>
          <t>nyu</t>
        </is>
      </c>
      <c r="Q82" t="inlineStr">
        <is>
          <t>Wiley series on personality processes</t>
        </is>
      </c>
      <c r="R82" t="inlineStr">
        <is>
          <t xml:space="preserve">BF </t>
        </is>
      </c>
      <c r="S82" t="n">
        <v>27</v>
      </c>
      <c r="T82" t="n">
        <v>27</v>
      </c>
      <c r="U82" t="inlineStr">
        <is>
          <t>2008-11-04</t>
        </is>
      </c>
      <c r="V82" t="inlineStr">
        <is>
          <t>2008-11-04</t>
        </is>
      </c>
      <c r="W82" t="inlineStr">
        <is>
          <t>1990-04-17</t>
        </is>
      </c>
      <c r="X82" t="inlineStr">
        <is>
          <t>1990-04-17</t>
        </is>
      </c>
      <c r="Y82" t="n">
        <v>367</v>
      </c>
      <c r="Z82" t="n">
        <v>309</v>
      </c>
      <c r="AA82" t="n">
        <v>314</v>
      </c>
      <c r="AB82" t="n">
        <v>2</v>
      </c>
      <c r="AC82" t="n">
        <v>2</v>
      </c>
      <c r="AD82" t="n">
        <v>16</v>
      </c>
      <c r="AE82" t="n">
        <v>16</v>
      </c>
      <c r="AF82" t="n">
        <v>5</v>
      </c>
      <c r="AG82" t="n">
        <v>5</v>
      </c>
      <c r="AH82" t="n">
        <v>2</v>
      </c>
      <c r="AI82" t="n">
        <v>2</v>
      </c>
      <c r="AJ82" t="n">
        <v>12</v>
      </c>
      <c r="AK82" t="n">
        <v>12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HYPERLINK("http://catalog.hathitrust.org/Record/000472669","HathiTrust Record")</f>
        <v/>
      </c>
      <c r="AS82">
        <f>HYPERLINK("https://creighton-primo.hosted.exlibrisgroup.com/primo-explore/search?tab=default_tab&amp;search_scope=EVERYTHING&amp;vid=01CRU&amp;lang=en_US&amp;offset=0&amp;query=any,contains,991000687729702656","Catalog Record")</f>
        <v/>
      </c>
      <c r="AT82">
        <f>HYPERLINK("http://www.worldcat.org/oclc/12421929","WorldCat Record")</f>
        <v/>
      </c>
      <c r="AU82" t="inlineStr">
        <is>
          <t>5060785:eng</t>
        </is>
      </c>
      <c r="AV82" t="inlineStr">
        <is>
          <t>12421929</t>
        </is>
      </c>
      <c r="AW82" t="inlineStr">
        <is>
          <t>991000687729702656</t>
        </is>
      </c>
      <c r="AX82" t="inlineStr">
        <is>
          <t>991000687729702656</t>
        </is>
      </c>
      <c r="AY82" t="inlineStr">
        <is>
          <t>2255902350002656</t>
        </is>
      </c>
      <c r="AZ82" t="inlineStr">
        <is>
          <t>BOOK</t>
        </is>
      </c>
      <c r="BB82" t="inlineStr">
        <is>
          <t>9780471831129</t>
        </is>
      </c>
      <c r="BC82" t="inlineStr">
        <is>
          <t>32285000122183</t>
        </is>
      </c>
      <c r="BD82" t="inlineStr">
        <is>
          <t>893696065</t>
        </is>
      </c>
    </row>
    <row r="83">
      <c r="A83" t="inlineStr">
        <is>
          <t>No</t>
        </is>
      </c>
      <c r="B83" t="inlineStr">
        <is>
          <t>BF1152 .E35</t>
        </is>
      </c>
      <c r="C83" t="inlineStr">
        <is>
          <t>0                      BF 1152000E  35</t>
        </is>
      </c>
      <c r="D83" t="inlineStr">
        <is>
          <t>Hypnosis and relaxation : modern verification of an old equation / William E. Edmonston, Jr.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Edmonston, William E.</t>
        </is>
      </c>
      <c r="L83" t="inlineStr">
        <is>
          <t>New York : Wiley, c1981.</t>
        </is>
      </c>
      <c r="M83" t="inlineStr">
        <is>
          <t>1981</t>
        </is>
      </c>
      <c r="O83" t="inlineStr">
        <is>
          <t>eng</t>
        </is>
      </c>
      <c r="P83" t="inlineStr">
        <is>
          <t>nyu</t>
        </is>
      </c>
      <c r="Q83" t="inlineStr">
        <is>
          <t>Wiley series on personality processes</t>
        </is>
      </c>
      <c r="R83" t="inlineStr">
        <is>
          <t xml:space="preserve">BF </t>
        </is>
      </c>
      <c r="S83" t="n">
        <v>20</v>
      </c>
      <c r="T83" t="n">
        <v>20</v>
      </c>
      <c r="U83" t="inlineStr">
        <is>
          <t>2002-02-11</t>
        </is>
      </c>
      <c r="V83" t="inlineStr">
        <is>
          <t>2002-02-11</t>
        </is>
      </c>
      <c r="W83" t="inlineStr">
        <is>
          <t>1990-02-21</t>
        </is>
      </c>
      <c r="X83" t="inlineStr">
        <is>
          <t>1990-02-21</t>
        </is>
      </c>
      <c r="Y83" t="n">
        <v>399</v>
      </c>
      <c r="Z83" t="n">
        <v>323</v>
      </c>
      <c r="AA83" t="n">
        <v>323</v>
      </c>
      <c r="AB83" t="n">
        <v>4</v>
      </c>
      <c r="AC83" t="n">
        <v>4</v>
      </c>
      <c r="AD83" t="n">
        <v>17</v>
      </c>
      <c r="AE83" t="n">
        <v>17</v>
      </c>
      <c r="AF83" t="n">
        <v>6</v>
      </c>
      <c r="AG83" t="n">
        <v>6</v>
      </c>
      <c r="AH83" t="n">
        <v>4</v>
      </c>
      <c r="AI83" t="n">
        <v>4</v>
      </c>
      <c r="AJ83" t="n">
        <v>9</v>
      </c>
      <c r="AK83" t="n">
        <v>9</v>
      </c>
      <c r="AL83" t="n">
        <v>3</v>
      </c>
      <c r="AM83" t="n">
        <v>3</v>
      </c>
      <c r="AN83" t="n">
        <v>0</v>
      </c>
      <c r="AO83" t="n">
        <v>0</v>
      </c>
      <c r="AP83" t="inlineStr">
        <is>
          <t>No</t>
        </is>
      </c>
      <c r="AQ83" t="inlineStr">
        <is>
          <t>No</t>
        </is>
      </c>
      <c r="AS83">
        <f>HYPERLINK("https://creighton-primo.hosted.exlibrisgroup.com/primo-explore/search?tab=default_tab&amp;search_scope=EVERYTHING&amp;vid=01CRU&amp;lang=en_US&amp;offset=0&amp;query=any,contains,991005036329702656","Catalog Record")</f>
        <v/>
      </c>
      <c r="AT83">
        <f>HYPERLINK("http://www.worldcat.org/oclc/6761850","WorldCat Record")</f>
        <v/>
      </c>
      <c r="AU83" t="inlineStr">
        <is>
          <t>196504042:eng</t>
        </is>
      </c>
      <c r="AV83" t="inlineStr">
        <is>
          <t>6761850</t>
        </is>
      </c>
      <c r="AW83" t="inlineStr">
        <is>
          <t>991005036329702656</t>
        </is>
      </c>
      <c r="AX83" t="inlineStr">
        <is>
          <t>991005036329702656</t>
        </is>
      </c>
      <c r="AY83" t="inlineStr">
        <is>
          <t>2261202120002656</t>
        </is>
      </c>
      <c r="AZ83" t="inlineStr">
        <is>
          <t>BOOK</t>
        </is>
      </c>
      <c r="BB83" t="inlineStr">
        <is>
          <t>9780471059035</t>
        </is>
      </c>
      <c r="BC83" t="inlineStr">
        <is>
          <t>32285000058130</t>
        </is>
      </c>
      <c r="BD83" t="inlineStr">
        <is>
          <t>893895775</t>
        </is>
      </c>
    </row>
    <row r="84">
      <c r="A84" t="inlineStr">
        <is>
          <t>No</t>
        </is>
      </c>
      <c r="B84" t="inlineStr">
        <is>
          <t>BF1152 .W27 1981</t>
        </is>
      </c>
      <c r="C84" t="inlineStr">
        <is>
          <t>0                      BF 1152000W  27          1981</t>
        </is>
      </c>
      <c r="D84" t="inlineStr">
        <is>
          <t>Hypnosis, compliance, and belief / Graham F. Wagstaff.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Wagstaff, Graham F., 1948-</t>
        </is>
      </c>
      <c r="L84" t="inlineStr">
        <is>
          <t>New York : St. Martin's Press, 1981.</t>
        </is>
      </c>
      <c r="M84" t="inlineStr">
        <is>
          <t>1981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BF </t>
        </is>
      </c>
      <c r="S84" t="n">
        <v>15</v>
      </c>
      <c r="T84" t="n">
        <v>15</v>
      </c>
      <c r="U84" t="inlineStr">
        <is>
          <t>2000-11-29</t>
        </is>
      </c>
      <c r="V84" t="inlineStr">
        <is>
          <t>2000-11-29</t>
        </is>
      </c>
      <c r="W84" t="inlineStr">
        <is>
          <t>1990-02-21</t>
        </is>
      </c>
      <c r="X84" t="inlineStr">
        <is>
          <t>1990-02-21</t>
        </is>
      </c>
      <c r="Y84" t="n">
        <v>269</v>
      </c>
      <c r="Z84" t="n">
        <v>234</v>
      </c>
      <c r="AA84" t="n">
        <v>258</v>
      </c>
      <c r="AB84" t="n">
        <v>3</v>
      </c>
      <c r="AC84" t="n">
        <v>3</v>
      </c>
      <c r="AD84" t="n">
        <v>9</v>
      </c>
      <c r="AE84" t="n">
        <v>10</v>
      </c>
      <c r="AF84" t="n">
        <v>3</v>
      </c>
      <c r="AG84" t="n">
        <v>3</v>
      </c>
      <c r="AH84" t="n">
        <v>1</v>
      </c>
      <c r="AI84" t="n">
        <v>1</v>
      </c>
      <c r="AJ84" t="n">
        <v>4</v>
      </c>
      <c r="AK84" t="n">
        <v>5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HYPERLINK("https://creighton-primo.hosted.exlibrisgroup.com/primo-explore/search?tab=default_tab&amp;search_scope=EVERYTHING&amp;vid=01CRU&amp;lang=en_US&amp;offset=0&amp;query=any,contains,991005155069702656","Catalog Record")</f>
        <v/>
      </c>
      <c r="AT84">
        <f>HYPERLINK("http://www.worldcat.org/oclc/7738445","WorldCat Record")</f>
        <v/>
      </c>
      <c r="AU84" t="inlineStr">
        <is>
          <t>442781:eng</t>
        </is>
      </c>
      <c r="AV84" t="inlineStr">
        <is>
          <t>7738445</t>
        </is>
      </c>
      <c r="AW84" t="inlineStr">
        <is>
          <t>991005155069702656</t>
        </is>
      </c>
      <c r="AX84" t="inlineStr">
        <is>
          <t>991005155069702656</t>
        </is>
      </c>
      <c r="AY84" t="inlineStr">
        <is>
          <t>2258050010002656</t>
        </is>
      </c>
      <c r="AZ84" t="inlineStr">
        <is>
          <t>BOOK</t>
        </is>
      </c>
      <c r="BB84" t="inlineStr">
        <is>
          <t>9780312401573</t>
        </is>
      </c>
      <c r="BC84" t="inlineStr">
        <is>
          <t>32285000058148</t>
        </is>
      </c>
      <c r="BD84" t="inlineStr">
        <is>
          <t>893701103</t>
        </is>
      </c>
    </row>
    <row r="85">
      <c r="A85" t="inlineStr">
        <is>
          <t>No</t>
        </is>
      </c>
      <c r="B85" t="inlineStr">
        <is>
          <t>BF1171 .G85</t>
        </is>
      </c>
      <c r="C85" t="inlineStr">
        <is>
          <t>0                      BF 1171000G  85</t>
        </is>
      </c>
      <c r="D85" t="inlineStr">
        <is>
          <t>Extrasensory perception.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Gudas, Fabian, editor.</t>
        </is>
      </c>
      <c r="L85" t="inlineStr">
        <is>
          <t>New York, Scribner [1961]</t>
        </is>
      </c>
      <c r="M85" t="inlineStr">
        <is>
          <t>1961</t>
        </is>
      </c>
      <c r="O85" t="inlineStr">
        <is>
          <t>eng</t>
        </is>
      </c>
      <c r="P85" t="inlineStr">
        <is>
          <t>nyu</t>
        </is>
      </c>
      <c r="Q85" t="inlineStr">
        <is>
          <t>A Scribner research anthology</t>
        </is>
      </c>
      <c r="R85" t="inlineStr">
        <is>
          <t xml:space="preserve">BF </t>
        </is>
      </c>
      <c r="S85" t="n">
        <v>9</v>
      </c>
      <c r="T85" t="n">
        <v>9</v>
      </c>
      <c r="U85" t="inlineStr">
        <is>
          <t>2000-01-25</t>
        </is>
      </c>
      <c r="V85" t="inlineStr">
        <is>
          <t>2000-01-25</t>
        </is>
      </c>
      <c r="W85" t="inlineStr">
        <is>
          <t>2000-03-07</t>
        </is>
      </c>
      <c r="X85" t="inlineStr">
        <is>
          <t>2000-03-07</t>
        </is>
      </c>
      <c r="Y85" t="n">
        <v>247</v>
      </c>
      <c r="Z85" t="n">
        <v>230</v>
      </c>
      <c r="AA85" t="n">
        <v>312</v>
      </c>
      <c r="AB85" t="n">
        <v>1</v>
      </c>
      <c r="AC85" t="n">
        <v>1</v>
      </c>
      <c r="AD85" t="n">
        <v>5</v>
      </c>
      <c r="AE85" t="n">
        <v>8</v>
      </c>
      <c r="AF85" t="n">
        <v>2</v>
      </c>
      <c r="AG85" t="n">
        <v>3</v>
      </c>
      <c r="AH85" t="n">
        <v>2</v>
      </c>
      <c r="AI85" t="n">
        <v>3</v>
      </c>
      <c r="AJ85" t="n">
        <v>2</v>
      </c>
      <c r="AK85" t="n">
        <v>4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HYPERLINK("http://catalog.hathitrust.org/Record/102299397","HathiTrust Record")</f>
        <v/>
      </c>
      <c r="AS85">
        <f>HYPERLINK("https://creighton-primo.hosted.exlibrisgroup.com/primo-explore/search?tab=default_tab&amp;search_scope=EVERYTHING&amp;vid=01CRU&amp;lang=en_US&amp;offset=0&amp;query=any,contains,991002149649702656","Catalog Record")</f>
        <v/>
      </c>
      <c r="AT85">
        <f>HYPERLINK("http://www.worldcat.org/oclc/271859","WorldCat Record")</f>
        <v/>
      </c>
      <c r="AU85" t="inlineStr">
        <is>
          <t>1401398:eng</t>
        </is>
      </c>
      <c r="AV85" t="inlineStr">
        <is>
          <t>271859</t>
        </is>
      </c>
      <c r="AW85" t="inlineStr">
        <is>
          <t>991002149649702656</t>
        </is>
      </c>
      <c r="AX85" t="inlineStr">
        <is>
          <t>991002149649702656</t>
        </is>
      </c>
      <c r="AY85" t="inlineStr">
        <is>
          <t>2264227800002656</t>
        </is>
      </c>
      <c r="AZ85" t="inlineStr">
        <is>
          <t>BOOK</t>
        </is>
      </c>
      <c r="BC85" t="inlineStr">
        <is>
          <t>32285003667630</t>
        </is>
      </c>
      <c r="BD85" t="inlineStr">
        <is>
          <t>893316448</t>
        </is>
      </c>
    </row>
    <row r="86">
      <c r="A86" t="inlineStr">
        <is>
          <t>No</t>
        </is>
      </c>
      <c r="B86" t="inlineStr">
        <is>
          <t>BF1171 .M23 1984</t>
        </is>
      </c>
      <c r="C86" t="inlineStr">
        <is>
          <t>0                      BF 1171000M  23          1984</t>
        </is>
      </c>
      <c r="D86" t="inlineStr">
        <is>
          <t>Escape into the psychic kingdom / Patrick Mahony.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Mahony, Patrick.</t>
        </is>
      </c>
      <c r="L86" t="inlineStr">
        <is>
          <t>Washington, DC : Institute for the Study of Man, c1984.</t>
        </is>
      </c>
      <c r="M86" t="inlineStr">
        <is>
          <t>1984</t>
        </is>
      </c>
      <c r="O86" t="inlineStr">
        <is>
          <t>eng</t>
        </is>
      </c>
      <c r="P86" t="inlineStr">
        <is>
          <t>dcu</t>
        </is>
      </c>
      <c r="R86" t="inlineStr">
        <is>
          <t xml:space="preserve">BF </t>
        </is>
      </c>
      <c r="S86" t="n">
        <v>4</v>
      </c>
      <c r="T86" t="n">
        <v>4</v>
      </c>
      <c r="U86" t="inlineStr">
        <is>
          <t>1997-04-10</t>
        </is>
      </c>
      <c r="V86" t="inlineStr">
        <is>
          <t>1997-04-10</t>
        </is>
      </c>
      <c r="W86" t="inlineStr">
        <is>
          <t>1990-03-20</t>
        </is>
      </c>
      <c r="X86" t="inlineStr">
        <is>
          <t>1990-03-20</t>
        </is>
      </c>
      <c r="Y86" t="n">
        <v>840</v>
      </c>
      <c r="Z86" t="n">
        <v>839</v>
      </c>
      <c r="AA86" t="n">
        <v>850</v>
      </c>
      <c r="AB86" t="n">
        <v>9</v>
      </c>
      <c r="AC86" t="n">
        <v>9</v>
      </c>
      <c r="AD86" t="n">
        <v>15</v>
      </c>
      <c r="AE86" t="n">
        <v>15</v>
      </c>
      <c r="AF86" t="n">
        <v>7</v>
      </c>
      <c r="AG86" t="n">
        <v>7</v>
      </c>
      <c r="AH86" t="n">
        <v>1</v>
      </c>
      <c r="AI86" t="n">
        <v>1</v>
      </c>
      <c r="AJ86" t="n">
        <v>7</v>
      </c>
      <c r="AK86" t="n">
        <v>7</v>
      </c>
      <c r="AL86" t="n">
        <v>3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No</t>
        </is>
      </c>
      <c r="AS86">
        <f>HYPERLINK("https://creighton-primo.hosted.exlibrisgroup.com/primo-explore/search?tab=default_tab&amp;search_scope=EVERYTHING&amp;vid=01CRU&amp;lang=en_US&amp;offset=0&amp;query=any,contains,991000401619702656","Catalog Record")</f>
        <v/>
      </c>
      <c r="AT86">
        <f>HYPERLINK("http://www.worldcat.org/oclc/10612165","WorldCat Record")</f>
        <v/>
      </c>
      <c r="AU86" t="inlineStr">
        <is>
          <t>394335874:eng</t>
        </is>
      </c>
      <c r="AV86" t="inlineStr">
        <is>
          <t>10612165</t>
        </is>
      </c>
      <c r="AW86" t="inlineStr">
        <is>
          <t>991000401619702656</t>
        </is>
      </c>
      <c r="AX86" t="inlineStr">
        <is>
          <t>991000401619702656</t>
        </is>
      </c>
      <c r="AY86" t="inlineStr">
        <is>
          <t>2259020660002656</t>
        </is>
      </c>
      <c r="AZ86" t="inlineStr">
        <is>
          <t>BOOK</t>
        </is>
      </c>
      <c r="BB86" t="inlineStr">
        <is>
          <t>9780941694186</t>
        </is>
      </c>
      <c r="BC86" t="inlineStr">
        <is>
          <t>32285000086883</t>
        </is>
      </c>
      <c r="BD86" t="inlineStr">
        <is>
          <t>893802745</t>
        </is>
      </c>
    </row>
    <row r="87">
      <c r="A87" t="inlineStr">
        <is>
          <t>No</t>
        </is>
      </c>
      <c r="B87" t="inlineStr">
        <is>
          <t>BF1171 .S38 1973</t>
        </is>
      </c>
      <c r="C87" t="inlineStr">
        <is>
          <t>0                      BF 1171000S  38          1973</t>
        </is>
      </c>
      <c r="D87" t="inlineStr">
        <is>
          <t>ESP and personality patterns, by Gertrude Raffel Schmeidler and R. A. McConnell. With an introductory note by Gardner Murphy.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Schmeidler, Gertrude Raffel.</t>
        </is>
      </c>
      <c r="L87" t="inlineStr">
        <is>
          <t>Westport, Conn., Greenwood Press [1973, c1958]</t>
        </is>
      </c>
      <c r="M87" t="inlineStr">
        <is>
          <t>1973</t>
        </is>
      </c>
      <c r="O87" t="inlineStr">
        <is>
          <t>eng</t>
        </is>
      </c>
      <c r="P87" t="inlineStr">
        <is>
          <t>ctu</t>
        </is>
      </c>
      <c r="R87" t="inlineStr">
        <is>
          <t xml:space="preserve">BF </t>
        </is>
      </c>
      <c r="S87" t="n">
        <v>8</v>
      </c>
      <c r="T87" t="n">
        <v>8</v>
      </c>
      <c r="U87" t="inlineStr">
        <is>
          <t>1999-12-11</t>
        </is>
      </c>
      <c r="V87" t="inlineStr">
        <is>
          <t>1999-12-11</t>
        </is>
      </c>
      <c r="W87" t="inlineStr">
        <is>
          <t>1990-02-14</t>
        </is>
      </c>
      <c r="X87" t="inlineStr">
        <is>
          <t>1990-02-14</t>
        </is>
      </c>
      <c r="Y87" t="n">
        <v>190</v>
      </c>
      <c r="Z87" t="n">
        <v>179</v>
      </c>
      <c r="AA87" t="n">
        <v>504</v>
      </c>
      <c r="AB87" t="n">
        <v>1</v>
      </c>
      <c r="AC87" t="n">
        <v>2</v>
      </c>
      <c r="AD87" t="n">
        <v>8</v>
      </c>
      <c r="AE87" t="n">
        <v>23</v>
      </c>
      <c r="AF87" t="n">
        <v>4</v>
      </c>
      <c r="AG87" t="n">
        <v>11</v>
      </c>
      <c r="AH87" t="n">
        <v>2</v>
      </c>
      <c r="AI87" t="n">
        <v>3</v>
      </c>
      <c r="AJ87" t="n">
        <v>5</v>
      </c>
      <c r="AK87" t="n">
        <v>12</v>
      </c>
      <c r="AL87" t="n">
        <v>0</v>
      </c>
      <c r="AM87" t="n">
        <v>1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HYPERLINK("https://creighton-primo.hosted.exlibrisgroup.com/primo-explore/search?tab=default_tab&amp;search_scope=EVERYTHING&amp;vid=01CRU&amp;lang=en_US&amp;offset=0&amp;query=any,contains,991003135569702656","Catalog Record")</f>
        <v/>
      </c>
      <c r="AT87">
        <f>HYPERLINK("http://www.worldcat.org/oclc/677326","WorldCat Record")</f>
        <v/>
      </c>
      <c r="AU87" t="inlineStr">
        <is>
          <t>500818:eng</t>
        </is>
      </c>
      <c r="AV87" t="inlineStr">
        <is>
          <t>677326</t>
        </is>
      </c>
      <c r="AW87" t="inlineStr">
        <is>
          <t>991003135569702656</t>
        </is>
      </c>
      <c r="AX87" t="inlineStr">
        <is>
          <t>991003135569702656</t>
        </is>
      </c>
      <c r="AY87" t="inlineStr">
        <is>
          <t>2272366380002656</t>
        </is>
      </c>
      <c r="AZ87" t="inlineStr">
        <is>
          <t>BOOK</t>
        </is>
      </c>
      <c r="BB87" t="inlineStr">
        <is>
          <t>9780837169927</t>
        </is>
      </c>
      <c r="BC87" t="inlineStr">
        <is>
          <t>32285000009794</t>
        </is>
      </c>
      <c r="BD87" t="inlineStr">
        <is>
          <t>893799417</t>
        </is>
      </c>
    </row>
    <row r="88">
      <c r="A88" t="inlineStr">
        <is>
          <t>No</t>
        </is>
      </c>
      <c r="B88" t="inlineStr">
        <is>
          <t>BF1171 .S6 1975</t>
        </is>
      </c>
      <c r="C88" t="inlineStr">
        <is>
          <t>0                      BF 1171000S  6           1975</t>
        </is>
      </c>
      <c r="D88" t="inlineStr">
        <is>
          <t>Modern experiments in telepathy / by S. G. Soal and F. Bateman ; with an introductory note by G. E. Hutchinson.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Soal, S. G. (Samuel George)</t>
        </is>
      </c>
      <c r="L88" t="inlineStr">
        <is>
          <t>Westport, Conn. : Greenwood Press, 1975.</t>
        </is>
      </c>
      <c r="M88" t="inlineStr">
        <is>
          <t>1975</t>
        </is>
      </c>
      <c r="O88" t="inlineStr">
        <is>
          <t>eng</t>
        </is>
      </c>
      <c r="P88" t="inlineStr">
        <is>
          <t>ctu</t>
        </is>
      </c>
      <c r="R88" t="inlineStr">
        <is>
          <t xml:space="preserve">BF </t>
        </is>
      </c>
      <c r="S88" t="n">
        <v>3</v>
      </c>
      <c r="T88" t="n">
        <v>3</v>
      </c>
      <c r="U88" t="inlineStr">
        <is>
          <t>2007-02-25</t>
        </is>
      </c>
      <c r="V88" t="inlineStr">
        <is>
          <t>2007-02-25</t>
        </is>
      </c>
      <c r="W88" t="inlineStr">
        <is>
          <t>1997-09-25</t>
        </is>
      </c>
      <c r="X88" t="inlineStr">
        <is>
          <t>1997-09-25</t>
        </is>
      </c>
      <c r="Y88" t="n">
        <v>86</v>
      </c>
      <c r="Z88" t="n">
        <v>79</v>
      </c>
      <c r="AA88" t="n">
        <v>334</v>
      </c>
      <c r="AB88" t="n">
        <v>1</v>
      </c>
      <c r="AC88" t="n">
        <v>2</v>
      </c>
      <c r="AD88" t="n">
        <v>2</v>
      </c>
      <c r="AE88" t="n">
        <v>14</v>
      </c>
      <c r="AF88" t="n">
        <v>1</v>
      </c>
      <c r="AG88" t="n">
        <v>3</v>
      </c>
      <c r="AH88" t="n">
        <v>1</v>
      </c>
      <c r="AI88" t="n">
        <v>4</v>
      </c>
      <c r="AJ88" t="n">
        <v>1</v>
      </c>
      <c r="AK88" t="n">
        <v>9</v>
      </c>
      <c r="AL88" t="n">
        <v>0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HYPERLINK("https://creighton-primo.hosted.exlibrisgroup.com/primo-explore/search?tab=default_tab&amp;search_scope=EVERYTHING&amp;vid=01CRU&amp;lang=en_US&amp;offset=0&amp;query=any,contains,991003964959702656","Catalog Record")</f>
        <v/>
      </c>
      <c r="AT88">
        <f>HYPERLINK("http://www.worldcat.org/oclc/1980733","WorldCat Record")</f>
        <v/>
      </c>
      <c r="AU88" t="inlineStr">
        <is>
          <t>1814052:eng</t>
        </is>
      </c>
      <c r="AV88" t="inlineStr">
        <is>
          <t>1980733</t>
        </is>
      </c>
      <c r="AW88" t="inlineStr">
        <is>
          <t>991003964959702656</t>
        </is>
      </c>
      <c r="AX88" t="inlineStr">
        <is>
          <t>991003964959702656</t>
        </is>
      </c>
      <c r="AY88" t="inlineStr">
        <is>
          <t>2262333210002656</t>
        </is>
      </c>
      <c r="AZ88" t="inlineStr">
        <is>
          <t>BOOK</t>
        </is>
      </c>
      <c r="BB88" t="inlineStr">
        <is>
          <t>9780837183367</t>
        </is>
      </c>
      <c r="BC88" t="inlineStr">
        <is>
          <t>32285003179149</t>
        </is>
      </c>
      <c r="BD88" t="inlineStr">
        <is>
          <t>893627914</t>
        </is>
      </c>
    </row>
    <row r="89">
      <c r="A89" t="inlineStr">
        <is>
          <t>No</t>
        </is>
      </c>
      <c r="B89" t="inlineStr">
        <is>
          <t>BF121 .B64 1973</t>
        </is>
      </c>
      <c r="C89" t="inlineStr">
        <is>
          <t>0                      BF 0121000B  64          1973</t>
        </is>
      </c>
      <c r="D89" t="inlineStr">
        <is>
          <t>Psychology from an empirical standpoint; edited by Oskar Kraus; translated [from the German] by Antos C. Rancurello, D. B. Terrell and Linda L. McAlister; English edition edited by Linda L. McAlister.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Brentano, Franz, 1838-1917.</t>
        </is>
      </c>
      <c r="L89" t="inlineStr">
        <is>
          <t>London, Routledge and Kegan Paul; New York, Humanities Press, 1973.</t>
        </is>
      </c>
      <c r="M89" t="inlineStr">
        <is>
          <t>1973</t>
        </is>
      </c>
      <c r="O89" t="inlineStr">
        <is>
          <t>eng</t>
        </is>
      </c>
      <c r="P89" t="inlineStr">
        <is>
          <t>enk</t>
        </is>
      </c>
      <c r="Q89" t="inlineStr">
        <is>
          <t>International library of philosophy and scientific method</t>
        </is>
      </c>
      <c r="R89" t="inlineStr">
        <is>
          <t xml:space="preserve">BF </t>
        </is>
      </c>
      <c r="S89" t="n">
        <v>2</v>
      </c>
      <c r="T89" t="n">
        <v>2</v>
      </c>
      <c r="U89" t="inlineStr">
        <is>
          <t>2005-09-22</t>
        </is>
      </c>
      <c r="V89" t="inlineStr">
        <is>
          <t>2005-09-22</t>
        </is>
      </c>
      <c r="W89" t="inlineStr">
        <is>
          <t>1996-07-23</t>
        </is>
      </c>
      <c r="X89" t="inlineStr">
        <is>
          <t>1996-07-23</t>
        </is>
      </c>
      <c r="Y89" t="n">
        <v>420</v>
      </c>
      <c r="Z89" t="n">
        <v>292</v>
      </c>
      <c r="AA89" t="n">
        <v>406</v>
      </c>
      <c r="AB89" t="n">
        <v>2</v>
      </c>
      <c r="AC89" t="n">
        <v>2</v>
      </c>
      <c r="AD89" t="n">
        <v>15</v>
      </c>
      <c r="AE89" t="n">
        <v>22</v>
      </c>
      <c r="AF89" t="n">
        <v>1</v>
      </c>
      <c r="AG89" t="n">
        <v>3</v>
      </c>
      <c r="AH89" t="n">
        <v>4</v>
      </c>
      <c r="AI89" t="n">
        <v>7</v>
      </c>
      <c r="AJ89" t="n">
        <v>10</v>
      </c>
      <c r="AK89" t="n">
        <v>16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HYPERLINK("https://creighton-primo.hosted.exlibrisgroup.com/primo-explore/search?tab=default_tab&amp;search_scope=EVERYTHING&amp;vid=01CRU&amp;lang=en_US&amp;offset=0&amp;query=any,contains,991003215599702656","Catalog Record")</f>
        <v/>
      </c>
      <c r="AT89">
        <f>HYPERLINK("http://www.worldcat.org/oclc/741481","WorldCat Record")</f>
        <v/>
      </c>
      <c r="AU89" t="inlineStr">
        <is>
          <t>1807257:eng</t>
        </is>
      </c>
      <c r="AV89" t="inlineStr">
        <is>
          <t>741481</t>
        </is>
      </c>
      <c r="AW89" t="inlineStr">
        <is>
          <t>991003215599702656</t>
        </is>
      </c>
      <c r="AX89" t="inlineStr">
        <is>
          <t>991003215599702656</t>
        </is>
      </c>
      <c r="AY89" t="inlineStr">
        <is>
          <t>2270189330002656</t>
        </is>
      </c>
      <c r="AZ89" t="inlineStr">
        <is>
          <t>BOOK</t>
        </is>
      </c>
      <c r="BB89" t="inlineStr">
        <is>
          <t>9780710074256</t>
        </is>
      </c>
      <c r="BC89" t="inlineStr">
        <is>
          <t>32285002234218</t>
        </is>
      </c>
      <c r="BD89" t="inlineStr">
        <is>
          <t>893874536</t>
        </is>
      </c>
    </row>
    <row r="90">
      <c r="A90" t="inlineStr">
        <is>
          <t>No</t>
        </is>
      </c>
      <c r="B90" t="inlineStr">
        <is>
          <t>BF121 .C37</t>
        </is>
      </c>
      <c r="C90" t="inlineStr">
        <is>
          <t>0                      BF 0121000C  37</t>
        </is>
      </c>
      <c r="D90" t="inlineStr">
        <is>
          <t>James McKeen Cattell, 1860-1944; man of science. A. T. Poffenberger, editor.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Cattell, James McKeen, 1860-1944.</t>
        </is>
      </c>
      <c r="L90" t="inlineStr">
        <is>
          <t>New York, Arno Press, 1973 [c1947]</t>
        </is>
      </c>
      <c r="M90" t="inlineStr">
        <is>
          <t>1973</t>
        </is>
      </c>
      <c r="O90" t="inlineStr">
        <is>
          <t>eng</t>
        </is>
      </c>
      <c r="P90" t="inlineStr">
        <is>
          <t>nyu</t>
        </is>
      </c>
      <c r="Q90" t="inlineStr">
        <is>
          <t>Classics in psychology</t>
        </is>
      </c>
      <c r="R90" t="inlineStr">
        <is>
          <t xml:space="preserve">BF </t>
        </is>
      </c>
      <c r="S90" t="n">
        <v>1</v>
      </c>
      <c r="T90" t="n">
        <v>1</v>
      </c>
      <c r="U90" t="inlineStr">
        <is>
          <t>2009-03-12</t>
        </is>
      </c>
      <c r="V90" t="inlineStr">
        <is>
          <t>2009-03-12</t>
        </is>
      </c>
      <c r="W90" t="inlineStr">
        <is>
          <t>1996-07-23</t>
        </is>
      </c>
      <c r="X90" t="inlineStr">
        <is>
          <t>1996-07-23</t>
        </is>
      </c>
      <c r="Y90" t="n">
        <v>197</v>
      </c>
      <c r="Z90" t="n">
        <v>174</v>
      </c>
      <c r="AA90" t="n">
        <v>176</v>
      </c>
      <c r="AB90" t="n">
        <v>2</v>
      </c>
      <c r="AC90" t="n">
        <v>2</v>
      </c>
      <c r="AD90" t="n">
        <v>9</v>
      </c>
      <c r="AE90" t="n">
        <v>9</v>
      </c>
      <c r="AF90" t="n">
        <v>2</v>
      </c>
      <c r="AG90" t="n">
        <v>2</v>
      </c>
      <c r="AH90" t="n">
        <v>5</v>
      </c>
      <c r="AI90" t="n">
        <v>5</v>
      </c>
      <c r="AJ90" t="n">
        <v>4</v>
      </c>
      <c r="AK90" t="n">
        <v>4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HYPERLINK("http://catalog.hathitrust.org/Record/000615742","HathiTrust Record")</f>
        <v/>
      </c>
      <c r="AS90">
        <f>HYPERLINK("https://creighton-primo.hosted.exlibrisgroup.com/primo-explore/search?tab=default_tab&amp;search_scope=EVERYTHING&amp;vid=01CRU&amp;lang=en_US&amp;offset=0&amp;query=any,contains,991003080189702656","Catalog Record")</f>
        <v/>
      </c>
      <c r="AT90">
        <f>HYPERLINK("http://www.worldcat.org/oclc/632328","WorldCat Record")</f>
        <v/>
      </c>
      <c r="AU90" t="inlineStr">
        <is>
          <t>10792757740:eng</t>
        </is>
      </c>
      <c r="AV90" t="inlineStr">
        <is>
          <t>632328</t>
        </is>
      </c>
      <c r="AW90" t="inlineStr">
        <is>
          <t>991003080189702656</t>
        </is>
      </c>
      <c r="AX90" t="inlineStr">
        <is>
          <t>991003080189702656</t>
        </is>
      </c>
      <c r="AY90" t="inlineStr">
        <is>
          <t>2263853060002656</t>
        </is>
      </c>
      <c r="AZ90" t="inlineStr">
        <is>
          <t>BOOK</t>
        </is>
      </c>
      <c r="BB90" t="inlineStr">
        <is>
          <t>9780405051555</t>
        </is>
      </c>
      <c r="BC90" t="inlineStr">
        <is>
          <t>32285002234226</t>
        </is>
      </c>
      <c r="BD90" t="inlineStr">
        <is>
          <t>893239862</t>
        </is>
      </c>
    </row>
    <row r="91">
      <c r="A91" t="inlineStr">
        <is>
          <t>No</t>
        </is>
      </c>
      <c r="B91" t="inlineStr">
        <is>
          <t>BF121 .C64 1973</t>
        </is>
      </c>
      <c r="C91" t="inlineStr">
        <is>
          <t>0                      BF 0121000C  64          1973</t>
        </is>
      </c>
      <c r="D91" t="inlineStr">
        <is>
          <t>Psychology [by] Frank Cox.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Cox, Frank D.</t>
        </is>
      </c>
      <c r="L91" t="inlineStr">
        <is>
          <t>Dubuque, Iowa, W. C. Brown [1973]</t>
        </is>
      </c>
      <c r="M91" t="inlineStr">
        <is>
          <t>1973</t>
        </is>
      </c>
      <c r="N91" t="inlineStr">
        <is>
          <t>2d ed.</t>
        </is>
      </c>
      <c r="O91" t="inlineStr">
        <is>
          <t>eng</t>
        </is>
      </c>
      <c r="P91" t="inlineStr">
        <is>
          <t>iau</t>
        </is>
      </c>
      <c r="R91" t="inlineStr">
        <is>
          <t xml:space="preserve">BF </t>
        </is>
      </c>
      <c r="S91" t="n">
        <v>6</v>
      </c>
      <c r="T91" t="n">
        <v>6</v>
      </c>
      <c r="U91" t="inlineStr">
        <is>
          <t>2004-02-26</t>
        </is>
      </c>
      <c r="V91" t="inlineStr">
        <is>
          <t>2004-02-26</t>
        </is>
      </c>
      <c r="W91" t="inlineStr">
        <is>
          <t>1996-07-24</t>
        </is>
      </c>
      <c r="X91" t="inlineStr">
        <is>
          <t>1996-07-24</t>
        </is>
      </c>
      <c r="Y91" t="n">
        <v>113</v>
      </c>
      <c r="Z91" t="n">
        <v>94</v>
      </c>
      <c r="AA91" t="n">
        <v>162</v>
      </c>
      <c r="AB91" t="n">
        <v>1</v>
      </c>
      <c r="AC91" t="n">
        <v>2</v>
      </c>
      <c r="AD91" t="n">
        <v>5</v>
      </c>
      <c r="AE91" t="n">
        <v>8</v>
      </c>
      <c r="AF91" t="n">
        <v>1</v>
      </c>
      <c r="AG91" t="n">
        <v>2</v>
      </c>
      <c r="AH91" t="n">
        <v>2</v>
      </c>
      <c r="AI91" t="n">
        <v>3</v>
      </c>
      <c r="AJ91" t="n">
        <v>4</v>
      </c>
      <c r="AK91" t="n">
        <v>4</v>
      </c>
      <c r="AL91" t="n">
        <v>0</v>
      </c>
      <c r="AM91" t="n">
        <v>1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HYPERLINK("https://creighton-primo.hosted.exlibrisgroup.com/primo-explore/search?tab=default_tab&amp;search_scope=EVERYTHING&amp;vid=01CRU&amp;lang=en_US&amp;offset=0&amp;query=any,contains,991003044429702656","Catalog Record")</f>
        <v/>
      </c>
      <c r="AT91">
        <f>HYPERLINK("http://www.worldcat.org/oclc/605191","WorldCat Record")</f>
        <v/>
      </c>
      <c r="AU91" t="inlineStr">
        <is>
          <t>1285870:eng</t>
        </is>
      </c>
      <c r="AV91" t="inlineStr">
        <is>
          <t>605191</t>
        </is>
      </c>
      <c r="AW91" t="inlineStr">
        <is>
          <t>991003044429702656</t>
        </is>
      </c>
      <c r="AX91" t="inlineStr">
        <is>
          <t>991003044429702656</t>
        </is>
      </c>
      <c r="AY91" t="inlineStr">
        <is>
          <t>2263354700002656</t>
        </is>
      </c>
      <c r="AZ91" t="inlineStr">
        <is>
          <t>BOOK</t>
        </is>
      </c>
      <c r="BB91" t="inlineStr">
        <is>
          <t>9780697066152</t>
        </is>
      </c>
      <c r="BC91" t="inlineStr">
        <is>
          <t>32285002234242</t>
        </is>
      </c>
      <c r="BD91" t="inlineStr">
        <is>
          <t>893440873</t>
        </is>
      </c>
    </row>
    <row r="92">
      <c r="A92" t="inlineStr">
        <is>
          <t>No</t>
        </is>
      </c>
      <c r="B92" t="inlineStr">
        <is>
          <t>BF121 .F5</t>
        </is>
      </c>
      <c r="C92" t="inlineStr">
        <is>
          <t>0                      BF 0121000F  5</t>
        </is>
      </c>
      <c r="D92" t="inlineStr">
        <is>
          <t>Human performance [by] Paul M. Fitts [and] Michael I. Posner.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Fitts, Paul Morris, 1912-1965.</t>
        </is>
      </c>
      <c r="L92" t="inlineStr">
        <is>
          <t>Belmont, Calif., Brooks/Cole Pub. Co. [1967]</t>
        </is>
      </c>
      <c r="M92" t="inlineStr">
        <is>
          <t>1967</t>
        </is>
      </c>
      <c r="O92" t="inlineStr">
        <is>
          <t>eng</t>
        </is>
      </c>
      <c r="P92" t="inlineStr">
        <is>
          <t>cau</t>
        </is>
      </c>
      <c r="Q92" t="inlineStr">
        <is>
          <t>Basic concepts in psychology series</t>
        </is>
      </c>
      <c r="R92" t="inlineStr">
        <is>
          <t xml:space="preserve">BF </t>
        </is>
      </c>
      <c r="S92" t="n">
        <v>1</v>
      </c>
      <c r="T92" t="n">
        <v>1</v>
      </c>
      <c r="U92" t="inlineStr">
        <is>
          <t>2000-10-13</t>
        </is>
      </c>
      <c r="V92" t="inlineStr">
        <is>
          <t>2000-10-13</t>
        </is>
      </c>
      <c r="W92" t="inlineStr">
        <is>
          <t>1996-07-24</t>
        </is>
      </c>
      <c r="X92" t="inlineStr">
        <is>
          <t>1996-07-24</t>
        </is>
      </c>
      <c r="Y92" t="n">
        <v>535</v>
      </c>
      <c r="Z92" t="n">
        <v>391</v>
      </c>
      <c r="AA92" t="n">
        <v>447</v>
      </c>
      <c r="AB92" t="n">
        <v>3</v>
      </c>
      <c r="AC92" t="n">
        <v>3</v>
      </c>
      <c r="AD92" t="n">
        <v>15</v>
      </c>
      <c r="AE92" t="n">
        <v>18</v>
      </c>
      <c r="AF92" t="n">
        <v>5</v>
      </c>
      <c r="AG92" t="n">
        <v>7</v>
      </c>
      <c r="AH92" t="n">
        <v>4</v>
      </c>
      <c r="AI92" t="n">
        <v>5</v>
      </c>
      <c r="AJ92" t="n">
        <v>8</v>
      </c>
      <c r="AK92" t="n">
        <v>9</v>
      </c>
      <c r="AL92" t="n">
        <v>2</v>
      </c>
      <c r="AM92" t="n">
        <v>2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HYPERLINK("http://catalog.hathitrust.org/Record/000662688","HathiTrust Record")</f>
        <v/>
      </c>
      <c r="AS92">
        <f>HYPERLINK("https://creighton-primo.hosted.exlibrisgroup.com/primo-explore/search?tab=default_tab&amp;search_scope=EVERYTHING&amp;vid=01CRU&amp;lang=en_US&amp;offset=0&amp;query=any,contains,991002837039702656","Catalog Record")</f>
        <v/>
      </c>
      <c r="AT92">
        <f>HYPERLINK("http://www.worldcat.org/oclc/480476","WorldCat Record")</f>
        <v/>
      </c>
      <c r="AU92" t="inlineStr">
        <is>
          <t>445730:eng</t>
        </is>
      </c>
      <c r="AV92" t="inlineStr">
        <is>
          <t>480476</t>
        </is>
      </c>
      <c r="AW92" t="inlineStr">
        <is>
          <t>991002837039702656</t>
        </is>
      </c>
      <c r="AX92" t="inlineStr">
        <is>
          <t>991002837039702656</t>
        </is>
      </c>
      <c r="AY92" t="inlineStr">
        <is>
          <t>2268909730002656</t>
        </is>
      </c>
      <c r="AZ92" t="inlineStr">
        <is>
          <t>BOOK</t>
        </is>
      </c>
      <c r="BC92" t="inlineStr">
        <is>
          <t>32285002234317</t>
        </is>
      </c>
      <c r="BD92" t="inlineStr">
        <is>
          <t>893685842</t>
        </is>
      </c>
    </row>
    <row r="93">
      <c r="A93" t="inlineStr">
        <is>
          <t>No</t>
        </is>
      </c>
      <c r="B93" t="inlineStr">
        <is>
          <t>BF121 .H214 1986</t>
        </is>
      </c>
      <c r="C93" t="inlineStr">
        <is>
          <t>0                      BF 0121000H  214         1986</t>
        </is>
      </c>
      <c r="D93" t="inlineStr">
        <is>
          <t>Hans Eysenck : consensus and controversy / edited by Sohan Modgil and Celia Modgil ; concluding chapter by Hans Eysenck.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L93" t="inlineStr">
        <is>
          <t>Philadelphia : Falmer Press, 1986.</t>
        </is>
      </c>
      <c r="M93" t="inlineStr">
        <is>
          <t>1986</t>
        </is>
      </c>
      <c r="O93" t="inlineStr">
        <is>
          <t>eng</t>
        </is>
      </c>
      <c r="P93" t="inlineStr">
        <is>
          <t>pau</t>
        </is>
      </c>
      <c r="Q93" t="inlineStr">
        <is>
          <t>Falmer international master-minds challenged ; 2</t>
        </is>
      </c>
      <c r="R93" t="inlineStr">
        <is>
          <t xml:space="preserve">BF </t>
        </is>
      </c>
      <c r="S93" t="n">
        <v>1</v>
      </c>
      <c r="T93" t="n">
        <v>1</v>
      </c>
      <c r="U93" t="inlineStr">
        <is>
          <t>2004-02-26</t>
        </is>
      </c>
      <c r="V93" t="inlineStr">
        <is>
          <t>2004-02-26</t>
        </is>
      </c>
      <c r="W93" t="inlineStr">
        <is>
          <t>1990-08-09</t>
        </is>
      </c>
      <c r="X93" t="inlineStr">
        <is>
          <t>1990-08-09</t>
        </is>
      </c>
      <c r="Y93" t="n">
        <v>551</v>
      </c>
      <c r="Z93" t="n">
        <v>403</v>
      </c>
      <c r="AA93" t="n">
        <v>707</v>
      </c>
      <c r="AB93" t="n">
        <v>4</v>
      </c>
      <c r="AC93" t="n">
        <v>7</v>
      </c>
      <c r="AD93" t="n">
        <v>23</v>
      </c>
      <c r="AE93" t="n">
        <v>34</v>
      </c>
      <c r="AF93" t="n">
        <v>6</v>
      </c>
      <c r="AG93" t="n">
        <v>10</v>
      </c>
      <c r="AH93" t="n">
        <v>8</v>
      </c>
      <c r="AI93" t="n">
        <v>9</v>
      </c>
      <c r="AJ93" t="n">
        <v>13</v>
      </c>
      <c r="AK93" t="n">
        <v>16</v>
      </c>
      <c r="AL93" t="n">
        <v>3</v>
      </c>
      <c r="AM93" t="n">
        <v>6</v>
      </c>
      <c r="AN93" t="n">
        <v>0</v>
      </c>
      <c r="AO93" t="n">
        <v>1</v>
      </c>
      <c r="AP93" t="inlineStr">
        <is>
          <t>No</t>
        </is>
      </c>
      <c r="AQ93" t="inlineStr">
        <is>
          <t>No</t>
        </is>
      </c>
      <c r="AS93">
        <f>HYPERLINK("https://creighton-primo.hosted.exlibrisgroup.com/primo-explore/search?tab=default_tab&amp;search_scope=EVERYTHING&amp;vid=01CRU&amp;lang=en_US&amp;offset=0&amp;query=any,contains,991000844889702656","Catalog Record")</f>
        <v/>
      </c>
      <c r="AT93">
        <f>HYPERLINK("http://www.worldcat.org/oclc/13559007","WorldCat Record")</f>
        <v/>
      </c>
      <c r="AU93" t="inlineStr">
        <is>
          <t>793363175:eng</t>
        </is>
      </c>
      <c r="AV93" t="inlineStr">
        <is>
          <t>13559007</t>
        </is>
      </c>
      <c r="AW93" t="inlineStr">
        <is>
          <t>991000844889702656</t>
        </is>
      </c>
      <c r="AX93" t="inlineStr">
        <is>
          <t>991000844889702656</t>
        </is>
      </c>
      <c r="AY93" t="inlineStr">
        <is>
          <t>2270962310002656</t>
        </is>
      </c>
      <c r="AZ93" t="inlineStr">
        <is>
          <t>BOOK</t>
        </is>
      </c>
      <c r="BB93" t="inlineStr">
        <is>
          <t>9781850000211</t>
        </is>
      </c>
      <c r="BC93" t="inlineStr">
        <is>
          <t>32285000280866</t>
        </is>
      </c>
      <c r="BD93" t="inlineStr">
        <is>
          <t>893231464</t>
        </is>
      </c>
    </row>
    <row r="94">
      <c r="A94" t="inlineStr">
        <is>
          <t>No</t>
        </is>
      </c>
      <c r="B94" t="inlineStr">
        <is>
          <t>BF121 .H86</t>
        </is>
      </c>
      <c r="C94" t="inlineStr">
        <is>
          <t>0                      BF 0121000H  86</t>
        </is>
      </c>
      <c r="D94" t="inlineStr">
        <is>
          <t>Psychology, the science of interpersonal behavior / [by] Max L. Hutt, Robert L. Isaacson, and Milton L. Blum. Under the editorship of Gardner Murphy and Wayne Holtzman.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Hutt, Max L.</t>
        </is>
      </c>
      <c r="L94" t="inlineStr">
        <is>
          <t>New York : Harper &amp; Row, [1966]</t>
        </is>
      </c>
      <c r="M94" t="inlineStr">
        <is>
          <t>1966</t>
        </is>
      </c>
      <c r="O94" t="inlineStr">
        <is>
          <t>eng</t>
        </is>
      </c>
      <c r="P94" t="inlineStr">
        <is>
          <t>nyu</t>
        </is>
      </c>
      <c r="R94" t="inlineStr">
        <is>
          <t xml:space="preserve">BF </t>
        </is>
      </c>
      <c r="S94" t="n">
        <v>8</v>
      </c>
      <c r="T94" t="n">
        <v>8</v>
      </c>
      <c r="U94" t="inlineStr">
        <is>
          <t>1999-09-01</t>
        </is>
      </c>
      <c r="V94" t="inlineStr">
        <is>
          <t>1999-09-01</t>
        </is>
      </c>
      <c r="W94" t="inlineStr">
        <is>
          <t>1995-06-13</t>
        </is>
      </c>
      <c r="X94" t="inlineStr">
        <is>
          <t>1995-06-13</t>
        </is>
      </c>
      <c r="Y94" t="n">
        <v>337</v>
      </c>
      <c r="Z94" t="n">
        <v>267</v>
      </c>
      <c r="AA94" t="n">
        <v>274</v>
      </c>
      <c r="AB94" t="n">
        <v>3</v>
      </c>
      <c r="AC94" t="n">
        <v>3</v>
      </c>
      <c r="AD94" t="n">
        <v>12</v>
      </c>
      <c r="AE94" t="n">
        <v>12</v>
      </c>
      <c r="AF94" t="n">
        <v>6</v>
      </c>
      <c r="AG94" t="n">
        <v>6</v>
      </c>
      <c r="AH94" t="n">
        <v>1</v>
      </c>
      <c r="AI94" t="n">
        <v>1</v>
      </c>
      <c r="AJ94" t="n">
        <v>7</v>
      </c>
      <c r="AK94" t="n">
        <v>7</v>
      </c>
      <c r="AL94" t="n">
        <v>1</v>
      </c>
      <c r="AM94" t="n">
        <v>1</v>
      </c>
      <c r="AN94" t="n">
        <v>0</v>
      </c>
      <c r="AO94" t="n">
        <v>0</v>
      </c>
      <c r="AP94" t="inlineStr">
        <is>
          <t>No</t>
        </is>
      </c>
      <c r="AQ94" t="inlineStr">
        <is>
          <t>Yes</t>
        </is>
      </c>
      <c r="AR94">
        <f>HYPERLINK("http://catalog.hathitrust.org/Record/000616707","HathiTrust Record")</f>
        <v/>
      </c>
      <c r="AS94">
        <f>HYPERLINK("https://creighton-primo.hosted.exlibrisgroup.com/primo-explore/search?tab=default_tab&amp;search_scope=EVERYTHING&amp;vid=01CRU&amp;lang=en_US&amp;offset=0&amp;query=any,contains,991003181669702656","Catalog Record")</f>
        <v/>
      </c>
      <c r="AT94">
        <f>HYPERLINK("http://www.worldcat.org/oclc/711883","WorldCat Record")</f>
        <v/>
      </c>
      <c r="AU94" t="inlineStr">
        <is>
          <t>3855335629:eng</t>
        </is>
      </c>
      <c r="AV94" t="inlineStr">
        <is>
          <t>711883</t>
        </is>
      </c>
      <c r="AW94" t="inlineStr">
        <is>
          <t>991003181669702656</t>
        </is>
      </c>
      <c r="AX94" t="inlineStr">
        <is>
          <t>991003181669702656</t>
        </is>
      </c>
      <c r="AY94" t="inlineStr">
        <is>
          <t>2261927910002656</t>
        </is>
      </c>
      <c r="AZ94" t="inlineStr">
        <is>
          <t>BOOK</t>
        </is>
      </c>
      <c r="BC94" t="inlineStr">
        <is>
          <t>32285002060563</t>
        </is>
      </c>
      <c r="BD94" t="inlineStr">
        <is>
          <t>893793389</t>
        </is>
      </c>
    </row>
    <row r="95">
      <c r="A95" t="inlineStr">
        <is>
          <t>No</t>
        </is>
      </c>
      <c r="B95" t="inlineStr">
        <is>
          <t>BF121 .K55 1987</t>
        </is>
      </c>
      <c r="C95" t="inlineStr">
        <is>
          <t>0                      BF 0121000K  55          1987</t>
        </is>
      </c>
      <c r="D95" t="inlineStr">
        <is>
          <t>Child psychology and childhood education : a cognitive-developmental view / Lawrence Kohlberg with Rheta DeVries ... [et al.].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Kohlberg, Lawrence, 1927-1987.</t>
        </is>
      </c>
      <c r="L95" t="inlineStr">
        <is>
          <t>New York : Longman, c1987.</t>
        </is>
      </c>
      <c r="M95" t="inlineStr">
        <is>
          <t>1987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BF </t>
        </is>
      </c>
      <c r="S95" t="n">
        <v>22</v>
      </c>
      <c r="T95" t="n">
        <v>22</v>
      </c>
      <c r="U95" t="inlineStr">
        <is>
          <t>2005-01-18</t>
        </is>
      </c>
      <c r="V95" t="inlineStr">
        <is>
          <t>2005-01-18</t>
        </is>
      </c>
      <c r="W95" t="inlineStr">
        <is>
          <t>1990-04-20</t>
        </is>
      </c>
      <c r="X95" t="inlineStr">
        <is>
          <t>1990-04-20</t>
        </is>
      </c>
      <c r="Y95" t="n">
        <v>709</v>
      </c>
      <c r="Z95" t="n">
        <v>585</v>
      </c>
      <c r="AA95" t="n">
        <v>591</v>
      </c>
      <c r="AB95" t="n">
        <v>5</v>
      </c>
      <c r="AC95" t="n">
        <v>5</v>
      </c>
      <c r="AD95" t="n">
        <v>22</v>
      </c>
      <c r="AE95" t="n">
        <v>22</v>
      </c>
      <c r="AF95" t="n">
        <v>7</v>
      </c>
      <c r="AG95" t="n">
        <v>7</v>
      </c>
      <c r="AH95" t="n">
        <v>4</v>
      </c>
      <c r="AI95" t="n">
        <v>4</v>
      </c>
      <c r="AJ95" t="n">
        <v>11</v>
      </c>
      <c r="AK95" t="n">
        <v>11</v>
      </c>
      <c r="AL95" t="n">
        <v>4</v>
      </c>
      <c r="AM95" t="n">
        <v>4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HYPERLINK("http://catalog.hathitrust.org/Record/000807792","HathiTrust Record")</f>
        <v/>
      </c>
      <c r="AS95">
        <f>HYPERLINK("https://creighton-primo.hosted.exlibrisgroup.com/primo-explore/search?tab=default_tab&amp;search_scope=EVERYTHING&amp;vid=01CRU&amp;lang=en_US&amp;offset=0&amp;query=any,contains,991000877409702656","Catalog Record")</f>
        <v/>
      </c>
      <c r="AT95">
        <f>HYPERLINK("http://www.worldcat.org/oclc/13820983","WorldCat Record")</f>
        <v/>
      </c>
      <c r="AU95" t="inlineStr">
        <is>
          <t>836657497:eng</t>
        </is>
      </c>
      <c r="AV95" t="inlineStr">
        <is>
          <t>13820983</t>
        </is>
      </c>
      <c r="AW95" t="inlineStr">
        <is>
          <t>991000877409702656</t>
        </is>
      </c>
      <c r="AX95" t="inlineStr">
        <is>
          <t>991000877409702656</t>
        </is>
      </c>
      <c r="AY95" t="inlineStr">
        <is>
          <t>2268265400002656</t>
        </is>
      </c>
      <c r="AZ95" t="inlineStr">
        <is>
          <t>BOOK</t>
        </is>
      </c>
      <c r="BB95" t="inlineStr">
        <is>
          <t>9780582283022</t>
        </is>
      </c>
      <c r="BC95" t="inlineStr">
        <is>
          <t>32285000124916</t>
        </is>
      </c>
      <c r="BD95" t="inlineStr">
        <is>
          <t>893522091</t>
        </is>
      </c>
    </row>
    <row r="96">
      <c r="A96" t="inlineStr">
        <is>
          <t>No</t>
        </is>
      </c>
      <c r="B96" t="inlineStr">
        <is>
          <t>BF121 .K72 1973</t>
        </is>
      </c>
      <c r="C96" t="inlineStr">
        <is>
          <t>0                      BF 0121000K  72          1973</t>
        </is>
      </c>
      <c r="D96" t="inlineStr">
        <is>
          <t>Behavior influence and personality; the social matrix of human action [by] Leonard Krasner [and] Leonard P. Ullmann.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Krasner, Leonard, 1924-2007.</t>
        </is>
      </c>
      <c r="L96" t="inlineStr">
        <is>
          <t>New York, Holt, Rinehart and Winston [1973]</t>
        </is>
      </c>
      <c r="M96" t="inlineStr">
        <is>
          <t>1973</t>
        </is>
      </c>
      <c r="O96" t="inlineStr">
        <is>
          <t>eng</t>
        </is>
      </c>
      <c r="P96" t="inlineStr">
        <is>
          <t>nyu</t>
        </is>
      </c>
      <c r="R96" t="inlineStr">
        <is>
          <t xml:space="preserve">BF </t>
        </is>
      </c>
      <c r="S96" t="n">
        <v>6</v>
      </c>
      <c r="T96" t="n">
        <v>6</v>
      </c>
      <c r="U96" t="inlineStr">
        <is>
          <t>2000-10-23</t>
        </is>
      </c>
      <c r="V96" t="inlineStr">
        <is>
          <t>2000-10-23</t>
        </is>
      </c>
      <c r="W96" t="inlineStr">
        <is>
          <t>1996-07-24</t>
        </is>
      </c>
      <c r="X96" t="inlineStr">
        <is>
          <t>1996-07-24</t>
        </is>
      </c>
      <c r="Y96" t="n">
        <v>444</v>
      </c>
      <c r="Z96" t="n">
        <v>308</v>
      </c>
      <c r="AA96" t="n">
        <v>311</v>
      </c>
      <c r="AB96" t="n">
        <v>4</v>
      </c>
      <c r="AC96" t="n">
        <v>4</v>
      </c>
      <c r="AD96" t="n">
        <v>11</v>
      </c>
      <c r="AE96" t="n">
        <v>11</v>
      </c>
      <c r="AF96" t="n">
        <v>2</v>
      </c>
      <c r="AG96" t="n">
        <v>2</v>
      </c>
      <c r="AH96" t="n">
        <v>5</v>
      </c>
      <c r="AI96" t="n">
        <v>5</v>
      </c>
      <c r="AJ96" t="n">
        <v>6</v>
      </c>
      <c r="AK96" t="n">
        <v>6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HYPERLINK("http://catalog.hathitrust.org/Record/000008906","HathiTrust Record")</f>
        <v/>
      </c>
      <c r="AS96">
        <f>HYPERLINK("https://creighton-primo.hosted.exlibrisgroup.com/primo-explore/search?tab=default_tab&amp;search_scope=EVERYTHING&amp;vid=01CRU&amp;lang=en_US&amp;offset=0&amp;query=any,contains,991003089809702656","Catalog Record")</f>
        <v/>
      </c>
      <c r="AT96">
        <f>HYPERLINK("http://www.worldcat.org/oclc/640229","WorldCat Record")</f>
        <v/>
      </c>
      <c r="AU96" t="inlineStr">
        <is>
          <t>821338216:eng</t>
        </is>
      </c>
      <c r="AV96" t="inlineStr">
        <is>
          <t>640229</t>
        </is>
      </c>
      <c r="AW96" t="inlineStr">
        <is>
          <t>991003089809702656</t>
        </is>
      </c>
      <c r="AX96" t="inlineStr">
        <is>
          <t>991003089809702656</t>
        </is>
      </c>
      <c r="AY96" t="inlineStr">
        <is>
          <t>2263307800002656</t>
        </is>
      </c>
      <c r="AZ96" t="inlineStr">
        <is>
          <t>BOOK</t>
        </is>
      </c>
      <c r="BB96" t="inlineStr">
        <is>
          <t>9780030561559</t>
        </is>
      </c>
      <c r="BC96" t="inlineStr">
        <is>
          <t>32285002234440</t>
        </is>
      </c>
      <c r="BD96" t="inlineStr">
        <is>
          <t>893505195</t>
        </is>
      </c>
    </row>
    <row r="97">
      <c r="A97" t="inlineStr">
        <is>
          <t>No</t>
        </is>
      </c>
      <c r="B97" t="inlineStr">
        <is>
          <t>BF121 .L42 1975</t>
        </is>
      </c>
      <c r="C97" t="inlineStr">
        <is>
          <t>0                      BF 0121000L  42          1975</t>
        </is>
      </c>
      <c r="D97" t="inlineStr">
        <is>
          <t>Psychology for teaching : a bear always usually faces the front / Guy R. Lefrancois.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Lefrançois, Guy R.</t>
        </is>
      </c>
      <c r="L97" t="inlineStr">
        <is>
          <t>Belmont, Calif. : Wadsworth Pub. Co., [1975]</t>
        </is>
      </c>
      <c r="M97" t="inlineStr">
        <is>
          <t>1975</t>
        </is>
      </c>
      <c r="N97" t="inlineStr">
        <is>
          <t>2d ed.</t>
        </is>
      </c>
      <c r="O97" t="inlineStr">
        <is>
          <t>eng</t>
        </is>
      </c>
      <c r="P97" t="inlineStr">
        <is>
          <t>cau</t>
        </is>
      </c>
      <c r="R97" t="inlineStr">
        <is>
          <t xml:space="preserve">BF </t>
        </is>
      </c>
      <c r="S97" t="n">
        <v>7</v>
      </c>
      <c r="T97" t="n">
        <v>7</v>
      </c>
      <c r="U97" t="inlineStr">
        <is>
          <t>2005-01-18</t>
        </is>
      </c>
      <c r="V97" t="inlineStr">
        <is>
          <t>2005-01-18</t>
        </is>
      </c>
      <c r="W97" t="inlineStr">
        <is>
          <t>1990-08-09</t>
        </is>
      </c>
      <c r="X97" t="inlineStr">
        <is>
          <t>1990-08-09</t>
        </is>
      </c>
      <c r="Y97" t="n">
        <v>251</v>
      </c>
      <c r="Z97" t="n">
        <v>194</v>
      </c>
      <c r="AA97" t="n">
        <v>562</v>
      </c>
      <c r="AB97" t="n">
        <v>1</v>
      </c>
      <c r="AC97" t="n">
        <v>6</v>
      </c>
      <c r="AD97" t="n">
        <v>6</v>
      </c>
      <c r="AE97" t="n">
        <v>17</v>
      </c>
      <c r="AF97" t="n">
        <v>0</v>
      </c>
      <c r="AG97" t="n">
        <v>2</v>
      </c>
      <c r="AH97" t="n">
        <v>2</v>
      </c>
      <c r="AI97" t="n">
        <v>5</v>
      </c>
      <c r="AJ97" t="n">
        <v>5</v>
      </c>
      <c r="AK97" t="n">
        <v>8</v>
      </c>
      <c r="AL97" t="n">
        <v>0</v>
      </c>
      <c r="AM97" t="n">
        <v>4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HYPERLINK("http://catalog.hathitrust.org/Record/001882890","HathiTrust Record")</f>
        <v/>
      </c>
      <c r="AS97">
        <f>HYPERLINK("https://creighton-primo.hosted.exlibrisgroup.com/primo-explore/search?tab=default_tab&amp;search_scope=EVERYTHING&amp;vid=01CRU&amp;lang=en_US&amp;offset=0&amp;query=any,contains,991003689199702656","Catalog Record")</f>
        <v/>
      </c>
      <c r="AT97">
        <f>HYPERLINK("http://www.worldcat.org/oclc/1318701","WorldCat Record")</f>
        <v/>
      </c>
      <c r="AU97" t="inlineStr">
        <is>
          <t>3901052016:eng</t>
        </is>
      </c>
      <c r="AV97" t="inlineStr">
        <is>
          <t>1318701</t>
        </is>
      </c>
      <c r="AW97" t="inlineStr">
        <is>
          <t>991003689199702656</t>
        </is>
      </c>
      <c r="AX97" t="inlineStr">
        <is>
          <t>991003689199702656</t>
        </is>
      </c>
      <c r="AY97" t="inlineStr">
        <is>
          <t>2270848630002656</t>
        </is>
      </c>
      <c r="AZ97" t="inlineStr">
        <is>
          <t>BOOK</t>
        </is>
      </c>
      <c r="BB97" t="inlineStr">
        <is>
          <t>9780534003685</t>
        </is>
      </c>
      <c r="BC97" t="inlineStr">
        <is>
          <t>32285000280924</t>
        </is>
      </c>
      <c r="BD97" t="inlineStr">
        <is>
          <t>893904470</t>
        </is>
      </c>
    </row>
    <row r="98">
      <c r="A98" t="inlineStr">
        <is>
          <t>No</t>
        </is>
      </c>
      <c r="B98" t="inlineStr">
        <is>
          <t>BF121 .M27</t>
        </is>
      </c>
      <c r="C98" t="inlineStr">
        <is>
          <t>0                      BF 0121000M  27</t>
        </is>
      </c>
      <c r="D98" t="inlineStr">
        <is>
          <t>Psychology [by] Wilbert James McKeachie [and] Charlotte Lackner Doyle.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McKeachie, Wilbert James, 1921-</t>
        </is>
      </c>
      <c r="L98" t="inlineStr">
        <is>
          <t>Reading, Mass., Addison-Wesley Pub. Co. [1966]</t>
        </is>
      </c>
      <c r="M98" t="inlineStr">
        <is>
          <t>1966</t>
        </is>
      </c>
      <c r="O98" t="inlineStr">
        <is>
          <t>eng</t>
        </is>
      </c>
      <c r="P98" t="inlineStr">
        <is>
          <t>mau</t>
        </is>
      </c>
      <c r="R98" t="inlineStr">
        <is>
          <t xml:space="preserve">BF </t>
        </is>
      </c>
      <c r="S98" t="n">
        <v>3</v>
      </c>
      <c r="T98" t="n">
        <v>3</v>
      </c>
      <c r="U98" t="inlineStr">
        <is>
          <t>1997-02-27</t>
        </is>
      </c>
      <c r="V98" t="inlineStr">
        <is>
          <t>1997-02-27</t>
        </is>
      </c>
      <c r="W98" t="inlineStr">
        <is>
          <t>1996-07-24</t>
        </is>
      </c>
      <c r="X98" t="inlineStr">
        <is>
          <t>1996-07-24</t>
        </is>
      </c>
      <c r="Y98" t="n">
        <v>291</v>
      </c>
      <c r="Z98" t="n">
        <v>192</v>
      </c>
      <c r="AA98" t="n">
        <v>378</v>
      </c>
      <c r="AB98" t="n">
        <v>2</v>
      </c>
      <c r="AC98" t="n">
        <v>7</v>
      </c>
      <c r="AD98" t="n">
        <v>9</v>
      </c>
      <c r="AE98" t="n">
        <v>17</v>
      </c>
      <c r="AF98" t="n">
        <v>2</v>
      </c>
      <c r="AG98" t="n">
        <v>4</v>
      </c>
      <c r="AH98" t="n">
        <v>2</v>
      </c>
      <c r="AI98" t="n">
        <v>4</v>
      </c>
      <c r="AJ98" t="n">
        <v>6</v>
      </c>
      <c r="AK98" t="n">
        <v>9</v>
      </c>
      <c r="AL98" t="n">
        <v>1</v>
      </c>
      <c r="AM98" t="n">
        <v>4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HYPERLINK("http://catalog.hathitrust.org/Record/000616089","HathiTrust Record")</f>
        <v/>
      </c>
      <c r="AS98">
        <f>HYPERLINK("https://creighton-primo.hosted.exlibrisgroup.com/primo-explore/search?tab=default_tab&amp;search_scope=EVERYTHING&amp;vid=01CRU&amp;lang=en_US&amp;offset=0&amp;query=any,contains,991001204849702656","Catalog Record")</f>
        <v/>
      </c>
      <c r="AT98">
        <f>HYPERLINK("http://www.worldcat.org/oclc/191740","WorldCat Record")</f>
        <v/>
      </c>
      <c r="AU98" t="inlineStr">
        <is>
          <t>1352155:eng</t>
        </is>
      </c>
      <c r="AV98" t="inlineStr">
        <is>
          <t>191740</t>
        </is>
      </c>
      <c r="AW98" t="inlineStr">
        <is>
          <t>991001204849702656</t>
        </is>
      </c>
      <c r="AX98" t="inlineStr">
        <is>
          <t>991001204849702656</t>
        </is>
      </c>
      <c r="AY98" t="inlineStr">
        <is>
          <t>2258946800002656</t>
        </is>
      </c>
      <c r="AZ98" t="inlineStr">
        <is>
          <t>BOOK</t>
        </is>
      </c>
      <c r="BC98" t="inlineStr">
        <is>
          <t>32285002234499</t>
        </is>
      </c>
      <c r="BD98" t="inlineStr">
        <is>
          <t>893503191</t>
        </is>
      </c>
    </row>
    <row r="99">
      <c r="A99" t="inlineStr">
        <is>
          <t>No</t>
        </is>
      </c>
      <c r="B99" t="inlineStr">
        <is>
          <t>BF121 .M577</t>
        </is>
      </c>
      <c r="C99" t="inlineStr">
        <is>
          <t>0                      BF 0121000M  577</t>
        </is>
      </c>
      <c r="D99" t="inlineStr">
        <is>
          <t>Sense and symbol; a textbook of human behavioral science.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Miller, Paul (Paul R.)</t>
        </is>
      </c>
      <c r="L99" t="inlineStr">
        <is>
          <t>New York, Hoeber Medical Division, Harper &amp; Row [1967]</t>
        </is>
      </c>
      <c r="M99" t="inlineStr">
        <is>
          <t>1967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BF </t>
        </is>
      </c>
      <c r="S99" t="n">
        <v>4</v>
      </c>
      <c r="T99" t="n">
        <v>4</v>
      </c>
      <c r="U99" t="inlineStr">
        <is>
          <t>1999-09-01</t>
        </is>
      </c>
      <c r="V99" t="inlineStr">
        <is>
          <t>1999-09-01</t>
        </is>
      </c>
      <c r="W99" t="inlineStr">
        <is>
          <t>1996-07-24</t>
        </is>
      </c>
      <c r="X99" t="inlineStr">
        <is>
          <t>1996-07-24</t>
        </is>
      </c>
      <c r="Y99" t="n">
        <v>285</v>
      </c>
      <c r="Z99" t="n">
        <v>225</v>
      </c>
      <c r="AA99" t="n">
        <v>232</v>
      </c>
      <c r="AB99" t="n">
        <v>4</v>
      </c>
      <c r="AC99" t="n">
        <v>4</v>
      </c>
      <c r="AD99" t="n">
        <v>13</v>
      </c>
      <c r="AE99" t="n">
        <v>13</v>
      </c>
      <c r="AF99" t="n">
        <v>1</v>
      </c>
      <c r="AG99" t="n">
        <v>1</v>
      </c>
      <c r="AH99" t="n">
        <v>4</v>
      </c>
      <c r="AI99" t="n">
        <v>4</v>
      </c>
      <c r="AJ99" t="n">
        <v>8</v>
      </c>
      <c r="AK99" t="n">
        <v>8</v>
      </c>
      <c r="AL99" t="n">
        <v>3</v>
      </c>
      <c r="AM99" t="n">
        <v>3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HYPERLINK("http://catalog.hathitrust.org/Record/000580990","HathiTrust Record")</f>
        <v/>
      </c>
      <c r="AS99">
        <f>HYPERLINK("https://creighton-primo.hosted.exlibrisgroup.com/primo-explore/search?tab=default_tab&amp;search_scope=EVERYTHING&amp;vid=01CRU&amp;lang=en_US&amp;offset=0&amp;query=any,contains,991001990549702656","Catalog Record")</f>
        <v/>
      </c>
      <c r="AT99">
        <f>HYPERLINK("http://www.worldcat.org/oclc/255423","WorldCat Record")</f>
        <v/>
      </c>
      <c r="AU99" t="inlineStr">
        <is>
          <t>198493805:eng</t>
        </is>
      </c>
      <c r="AV99" t="inlineStr">
        <is>
          <t>255423</t>
        </is>
      </c>
      <c r="AW99" t="inlineStr">
        <is>
          <t>991001990549702656</t>
        </is>
      </c>
      <c r="AX99" t="inlineStr">
        <is>
          <t>991001990549702656</t>
        </is>
      </c>
      <c r="AY99" t="inlineStr">
        <is>
          <t>2268828770002656</t>
        </is>
      </c>
      <c r="AZ99" t="inlineStr">
        <is>
          <t>BOOK</t>
        </is>
      </c>
      <c r="BC99" t="inlineStr">
        <is>
          <t>32285002234523</t>
        </is>
      </c>
      <c r="BD99" t="inlineStr">
        <is>
          <t>893615559</t>
        </is>
      </c>
    </row>
    <row r="100">
      <c r="A100" t="inlineStr">
        <is>
          <t>No</t>
        </is>
      </c>
      <c r="B100" t="inlineStr">
        <is>
          <t>BF121 .M58</t>
        </is>
      </c>
      <c r="C100" t="inlineStr">
        <is>
          <t>0                      BF 0121000M  58</t>
        </is>
      </c>
      <c r="D100" t="inlineStr">
        <is>
          <t>The driving forces of human nature and their adjustment; an introduction to the psychology and psychopathology of emotional behavior and volitional control.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Moore, Thomas Verner, 1877-1969.</t>
        </is>
      </c>
      <c r="L100" t="inlineStr">
        <is>
          <t>New York, Grune &amp; Stratton, 1948.</t>
        </is>
      </c>
      <c r="M100" t="inlineStr">
        <is>
          <t>1948</t>
        </is>
      </c>
      <c r="O100" t="inlineStr">
        <is>
          <t>eng</t>
        </is>
      </c>
      <c r="P100" t="inlineStr">
        <is>
          <t>nyu</t>
        </is>
      </c>
      <c r="R100" t="inlineStr">
        <is>
          <t xml:space="preserve">BF </t>
        </is>
      </c>
      <c r="S100" t="n">
        <v>7</v>
      </c>
      <c r="T100" t="n">
        <v>7</v>
      </c>
      <c r="U100" t="inlineStr">
        <is>
          <t>1997-08-12</t>
        </is>
      </c>
      <c r="V100" t="inlineStr">
        <is>
          <t>1997-08-12</t>
        </is>
      </c>
      <c r="W100" t="inlineStr">
        <is>
          <t>1996-07-24</t>
        </is>
      </c>
      <c r="X100" t="inlineStr">
        <is>
          <t>1996-07-24</t>
        </is>
      </c>
      <c r="Y100" t="n">
        <v>266</v>
      </c>
      <c r="Z100" t="n">
        <v>244</v>
      </c>
      <c r="AA100" t="n">
        <v>295</v>
      </c>
      <c r="AB100" t="n">
        <v>1</v>
      </c>
      <c r="AC100" t="n">
        <v>2</v>
      </c>
      <c r="AD100" t="n">
        <v>22</v>
      </c>
      <c r="AE100" t="n">
        <v>23</v>
      </c>
      <c r="AF100" t="n">
        <v>4</v>
      </c>
      <c r="AG100" t="n">
        <v>4</v>
      </c>
      <c r="AH100" t="n">
        <v>5</v>
      </c>
      <c r="AI100" t="n">
        <v>5</v>
      </c>
      <c r="AJ100" t="n">
        <v>19</v>
      </c>
      <c r="AK100" t="n">
        <v>19</v>
      </c>
      <c r="AL100" t="n">
        <v>0</v>
      </c>
      <c r="AM100" t="n">
        <v>1</v>
      </c>
      <c r="AN100" t="n">
        <v>0</v>
      </c>
      <c r="AO100" t="n">
        <v>0</v>
      </c>
      <c r="AP100" t="inlineStr">
        <is>
          <t>Yes</t>
        </is>
      </c>
      <c r="AQ100" t="inlineStr">
        <is>
          <t>No</t>
        </is>
      </c>
      <c r="AR100">
        <f>HYPERLINK("http://catalog.hathitrust.org/Record/000616152","HathiTrust Record")</f>
        <v/>
      </c>
      <c r="AS100">
        <f>HYPERLINK("https://creighton-primo.hosted.exlibrisgroup.com/primo-explore/search?tab=default_tab&amp;search_scope=EVERYTHING&amp;vid=01CRU&amp;lang=en_US&amp;offset=0&amp;query=any,contains,991003157859702656","Catalog Record")</f>
        <v/>
      </c>
      <c r="AT100">
        <f>HYPERLINK("http://www.worldcat.org/oclc/697344","WorldCat Record")</f>
        <v/>
      </c>
      <c r="AU100" t="inlineStr">
        <is>
          <t>1823664:eng</t>
        </is>
      </c>
      <c r="AV100" t="inlineStr">
        <is>
          <t>697344</t>
        </is>
      </c>
      <c r="AW100" t="inlineStr">
        <is>
          <t>991003157859702656</t>
        </is>
      </c>
      <c r="AX100" t="inlineStr">
        <is>
          <t>991003157859702656</t>
        </is>
      </c>
      <c r="AY100" t="inlineStr">
        <is>
          <t>2264503270002656</t>
        </is>
      </c>
      <c r="AZ100" t="inlineStr">
        <is>
          <t>BOOK</t>
        </is>
      </c>
      <c r="BC100" t="inlineStr">
        <is>
          <t>32285002234531</t>
        </is>
      </c>
      <c r="BD100" t="inlineStr">
        <is>
          <t>893416095</t>
        </is>
      </c>
    </row>
    <row r="101">
      <c r="A101" t="inlineStr">
        <is>
          <t>No</t>
        </is>
      </c>
      <c r="B101" t="inlineStr">
        <is>
          <t>BF121 .R595</t>
        </is>
      </c>
      <c r="C101" t="inlineStr">
        <is>
          <t>0                      BF 0121000R  595</t>
        </is>
      </c>
      <c r="D101" t="inlineStr">
        <is>
          <t>Psychology : a study of its origins and principles / [by] Daniel N. Robinson.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Robinson, Daniel N., 1937-</t>
        </is>
      </c>
      <c r="L101" t="inlineStr">
        <is>
          <t>Encino, Calif. : Dickenson Pub. Co., [1972]</t>
        </is>
      </c>
      <c r="M101" t="inlineStr">
        <is>
          <t>1972</t>
        </is>
      </c>
      <c r="O101" t="inlineStr">
        <is>
          <t>eng</t>
        </is>
      </c>
      <c r="P101" t="inlineStr">
        <is>
          <t>cau</t>
        </is>
      </c>
      <c r="R101" t="inlineStr">
        <is>
          <t xml:space="preserve">BF </t>
        </is>
      </c>
      <c r="S101" t="n">
        <v>5</v>
      </c>
      <c r="T101" t="n">
        <v>5</v>
      </c>
      <c r="U101" t="inlineStr">
        <is>
          <t>1996-09-15</t>
        </is>
      </c>
      <c r="V101" t="inlineStr">
        <is>
          <t>1996-09-15</t>
        </is>
      </c>
      <c r="W101" t="inlineStr">
        <is>
          <t>1993-02-11</t>
        </is>
      </c>
      <c r="X101" t="inlineStr">
        <is>
          <t>1993-02-11</t>
        </is>
      </c>
      <c r="Y101" t="n">
        <v>122</v>
      </c>
      <c r="Z101" t="n">
        <v>84</v>
      </c>
      <c r="AA101" t="n">
        <v>84</v>
      </c>
      <c r="AB101" t="n">
        <v>1</v>
      </c>
      <c r="AC101" t="n">
        <v>1</v>
      </c>
      <c r="AD101" t="n">
        <v>6</v>
      </c>
      <c r="AE101" t="n">
        <v>6</v>
      </c>
      <c r="AF101" t="n">
        <v>1</v>
      </c>
      <c r="AG101" t="n">
        <v>1</v>
      </c>
      <c r="AH101" t="n">
        <v>2</v>
      </c>
      <c r="AI101" t="n">
        <v>2</v>
      </c>
      <c r="AJ101" t="n">
        <v>5</v>
      </c>
      <c r="AK101" t="n">
        <v>5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HYPERLINK("https://creighton-primo.hosted.exlibrisgroup.com/primo-explore/search?tab=default_tab&amp;search_scope=EVERYTHING&amp;vid=01CRU&amp;lang=en_US&amp;offset=0&amp;query=any,contains,991002293549702656","Catalog Record")</f>
        <v/>
      </c>
      <c r="AT101">
        <f>HYPERLINK("http://www.worldcat.org/oclc/314066","WorldCat Record")</f>
        <v/>
      </c>
      <c r="AU101" t="inlineStr">
        <is>
          <t>3943822409:eng</t>
        </is>
      </c>
      <c r="AV101" t="inlineStr">
        <is>
          <t>314066</t>
        </is>
      </c>
      <c r="AW101" t="inlineStr">
        <is>
          <t>991002293549702656</t>
        </is>
      </c>
      <c r="AX101" t="inlineStr">
        <is>
          <t>991002293549702656</t>
        </is>
      </c>
      <c r="AY101" t="inlineStr">
        <is>
          <t>2272243270002656</t>
        </is>
      </c>
      <c r="AZ101" t="inlineStr">
        <is>
          <t>BOOK</t>
        </is>
      </c>
      <c r="BB101" t="inlineStr">
        <is>
          <t>9780822100096</t>
        </is>
      </c>
      <c r="BC101" t="inlineStr">
        <is>
          <t>32285001500700</t>
        </is>
      </c>
      <c r="BD101" t="inlineStr">
        <is>
          <t>893523429</t>
        </is>
      </c>
    </row>
    <row r="102">
      <c r="A102" t="inlineStr">
        <is>
          <t>No</t>
        </is>
      </c>
      <c r="B102" t="inlineStr">
        <is>
          <t>BF121 .S24</t>
        </is>
      </c>
      <c r="C102" t="inlineStr">
        <is>
          <t>0                      BF 0121000S  24</t>
        </is>
      </c>
      <c r="D102" t="inlineStr">
        <is>
          <t>Psychology: the science of behavior.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Salzinger, Kurt.</t>
        </is>
      </c>
      <c r="L102" t="inlineStr">
        <is>
          <t>New York, Springer Pub. Co. [1969]</t>
        </is>
      </c>
      <c r="M102" t="inlineStr">
        <is>
          <t>1969</t>
        </is>
      </c>
      <c r="O102" t="inlineStr">
        <is>
          <t>eng</t>
        </is>
      </c>
      <c r="P102" t="inlineStr">
        <is>
          <t>nyu</t>
        </is>
      </c>
      <c r="Q102" t="inlineStr">
        <is>
          <t>Introductions to psychology</t>
        </is>
      </c>
      <c r="R102" t="inlineStr">
        <is>
          <t xml:space="preserve">BF </t>
        </is>
      </c>
      <c r="S102" t="n">
        <v>5</v>
      </c>
      <c r="T102" t="n">
        <v>5</v>
      </c>
      <c r="U102" t="inlineStr">
        <is>
          <t>1996-11-13</t>
        </is>
      </c>
      <c r="V102" t="inlineStr">
        <is>
          <t>1996-11-13</t>
        </is>
      </c>
      <c r="W102" t="inlineStr">
        <is>
          <t>1996-07-24</t>
        </is>
      </c>
      <c r="X102" t="inlineStr">
        <is>
          <t>1996-07-24</t>
        </is>
      </c>
      <c r="Y102" t="n">
        <v>196</v>
      </c>
      <c r="Z102" t="n">
        <v>157</v>
      </c>
      <c r="AA102" t="n">
        <v>160</v>
      </c>
      <c r="AB102" t="n">
        <v>2</v>
      </c>
      <c r="AC102" t="n">
        <v>2</v>
      </c>
      <c r="AD102" t="n">
        <v>10</v>
      </c>
      <c r="AE102" t="n">
        <v>10</v>
      </c>
      <c r="AF102" t="n">
        <v>4</v>
      </c>
      <c r="AG102" t="n">
        <v>4</v>
      </c>
      <c r="AH102" t="n">
        <v>2</v>
      </c>
      <c r="AI102" t="n">
        <v>2</v>
      </c>
      <c r="AJ102" t="n">
        <v>7</v>
      </c>
      <c r="AK102" t="n">
        <v>7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HYPERLINK("http://catalog.hathitrust.org/Record/006153811","HathiTrust Record")</f>
        <v/>
      </c>
      <c r="AS102">
        <f>HYPERLINK("https://creighton-primo.hosted.exlibrisgroup.com/primo-explore/search?tab=default_tab&amp;search_scope=EVERYTHING&amp;vid=01CRU&amp;lang=en_US&amp;offset=0&amp;query=any,contains,991000064129702656","Catalog Record")</f>
        <v/>
      </c>
      <c r="AT102">
        <f>HYPERLINK("http://www.worldcat.org/oclc/26109","WorldCat Record")</f>
        <v/>
      </c>
      <c r="AU102" t="inlineStr">
        <is>
          <t>2452717864:eng</t>
        </is>
      </c>
      <c r="AV102" t="inlineStr">
        <is>
          <t>26109</t>
        </is>
      </c>
      <c r="AW102" t="inlineStr">
        <is>
          <t>991000064129702656</t>
        </is>
      </c>
      <c r="AX102" t="inlineStr">
        <is>
          <t>991000064129702656</t>
        </is>
      </c>
      <c r="AY102" t="inlineStr">
        <is>
          <t>2265778770002656</t>
        </is>
      </c>
      <c r="AZ102" t="inlineStr">
        <is>
          <t>BOOK</t>
        </is>
      </c>
      <c r="BC102" t="inlineStr">
        <is>
          <t>32285002234580</t>
        </is>
      </c>
      <c r="BD102" t="inlineStr">
        <is>
          <t>893695558</t>
        </is>
      </c>
    </row>
    <row r="103">
      <c r="A103" t="inlineStr">
        <is>
          <t>No</t>
        </is>
      </c>
      <c r="B103" t="inlineStr">
        <is>
          <t>BF121 .S54 1965</t>
        </is>
      </c>
      <c r="C103" t="inlineStr">
        <is>
          <t>0                      BF 0121000S  54          1965</t>
        </is>
      </c>
      <c r="D103" t="inlineStr">
        <is>
          <t>Science and human behavior.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Yes</t>
        </is>
      </c>
      <c r="J103" t="inlineStr">
        <is>
          <t>0</t>
        </is>
      </c>
      <c r="K103" t="inlineStr">
        <is>
          <t>Skinner, B. F. (Burrhus Frederic), 1904-1990.</t>
        </is>
      </c>
      <c r="L103" t="inlineStr">
        <is>
          <t>New York : Free Press, [1965, c1953]</t>
        </is>
      </c>
      <c r="M103" t="inlineStr">
        <is>
          <t>1965</t>
        </is>
      </c>
      <c r="O103" t="inlineStr">
        <is>
          <t>eng</t>
        </is>
      </c>
      <c r="P103" t="inlineStr">
        <is>
          <t>nyu</t>
        </is>
      </c>
      <c r="R103" t="inlineStr">
        <is>
          <t xml:space="preserve">BF </t>
        </is>
      </c>
      <c r="S103" t="n">
        <v>4</v>
      </c>
      <c r="T103" t="n">
        <v>4</v>
      </c>
      <c r="U103" t="inlineStr">
        <is>
          <t>1995-07-18</t>
        </is>
      </c>
      <c r="V103" t="inlineStr">
        <is>
          <t>1995-07-18</t>
        </is>
      </c>
      <c r="W103" t="inlineStr">
        <is>
          <t>1993-05-03</t>
        </is>
      </c>
      <c r="X103" t="inlineStr">
        <is>
          <t>1993-05-03</t>
        </is>
      </c>
      <c r="Y103" t="n">
        <v>730</v>
      </c>
      <c r="Z103" t="n">
        <v>600</v>
      </c>
      <c r="AA103" t="n">
        <v>1955</v>
      </c>
      <c r="AB103" t="n">
        <v>2</v>
      </c>
      <c r="AC103" t="n">
        <v>10</v>
      </c>
      <c r="AD103" t="n">
        <v>22</v>
      </c>
      <c r="AE103" t="n">
        <v>61</v>
      </c>
      <c r="AF103" t="n">
        <v>11</v>
      </c>
      <c r="AG103" t="n">
        <v>27</v>
      </c>
      <c r="AH103" t="n">
        <v>4</v>
      </c>
      <c r="AI103" t="n">
        <v>12</v>
      </c>
      <c r="AJ103" t="n">
        <v>10</v>
      </c>
      <c r="AK103" t="n">
        <v>26</v>
      </c>
      <c r="AL103" t="n">
        <v>1</v>
      </c>
      <c r="AM103" t="n">
        <v>9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HYPERLINK("http://catalog.hathitrust.org/Record/000581624","HathiTrust Record")</f>
        <v/>
      </c>
      <c r="AS103">
        <f>HYPERLINK("https://creighton-primo.hosted.exlibrisgroup.com/primo-explore/search?tab=default_tab&amp;search_scope=EVERYTHING&amp;vid=01CRU&amp;lang=en_US&amp;offset=0&amp;query=any,contains,991004576269702656","Catalog Record")</f>
        <v/>
      </c>
      <c r="AT103">
        <f>HYPERLINK("http://www.worldcat.org/oclc/4041416","WorldCat Record")</f>
        <v/>
      </c>
      <c r="AU103" t="inlineStr">
        <is>
          <t>4783801460:eng</t>
        </is>
      </c>
      <c r="AV103" t="inlineStr">
        <is>
          <t>4041416</t>
        </is>
      </c>
      <c r="AW103" t="inlineStr">
        <is>
          <t>991004576269702656</t>
        </is>
      </c>
      <c r="AX103" t="inlineStr">
        <is>
          <t>991004576269702656</t>
        </is>
      </c>
      <c r="AY103" t="inlineStr">
        <is>
          <t>2271533200002656</t>
        </is>
      </c>
      <c r="AZ103" t="inlineStr">
        <is>
          <t>BOOK</t>
        </is>
      </c>
      <c r="BC103" t="inlineStr">
        <is>
          <t>32285001581460</t>
        </is>
      </c>
      <c r="BD103" t="inlineStr">
        <is>
          <t>893411704</t>
        </is>
      </c>
    </row>
    <row r="104">
      <c r="A104" t="inlineStr">
        <is>
          <t>No</t>
        </is>
      </c>
      <c r="B104" t="inlineStr">
        <is>
          <t>BF121 .S62 1988</t>
        </is>
      </c>
      <c r="C104" t="inlineStr">
        <is>
          <t>0                      BF 0121000S  62          1988</t>
        </is>
      </c>
      <c r="D104" t="inlineStr">
        <is>
          <t>Sociobiological perspectives on human development / Kevin B. MacDonald, editor.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New York : Springer-Verlag, 1988.</t>
        </is>
      </c>
      <c r="M104" t="inlineStr">
        <is>
          <t>1988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BF </t>
        </is>
      </c>
      <c r="S104" t="n">
        <v>4</v>
      </c>
      <c r="T104" t="n">
        <v>4</v>
      </c>
      <c r="U104" t="inlineStr">
        <is>
          <t>1997-06-25</t>
        </is>
      </c>
      <c r="V104" t="inlineStr">
        <is>
          <t>1997-06-25</t>
        </is>
      </c>
      <c r="W104" t="inlineStr">
        <is>
          <t>1990-04-26</t>
        </is>
      </c>
      <c r="X104" t="inlineStr">
        <is>
          <t>1990-04-26</t>
        </is>
      </c>
      <c r="Y104" t="n">
        <v>338</v>
      </c>
      <c r="Z104" t="n">
        <v>228</v>
      </c>
      <c r="AA104" t="n">
        <v>247</v>
      </c>
      <c r="AB104" t="n">
        <v>3</v>
      </c>
      <c r="AC104" t="n">
        <v>3</v>
      </c>
      <c r="AD104" t="n">
        <v>11</v>
      </c>
      <c r="AE104" t="n">
        <v>13</v>
      </c>
      <c r="AF104" t="n">
        <v>2</v>
      </c>
      <c r="AG104" t="n">
        <v>4</v>
      </c>
      <c r="AH104" t="n">
        <v>4</v>
      </c>
      <c r="AI104" t="n">
        <v>4</v>
      </c>
      <c r="AJ104" t="n">
        <v>7</v>
      </c>
      <c r="AK104" t="n">
        <v>8</v>
      </c>
      <c r="AL104" t="n">
        <v>2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HYPERLINK("https://creighton-primo.hosted.exlibrisgroup.com/primo-explore/search?tab=default_tab&amp;search_scope=EVERYTHING&amp;vid=01CRU&amp;lang=en_US&amp;offset=0&amp;query=any,contains,991001157369702656","Catalog Record")</f>
        <v/>
      </c>
      <c r="AT104">
        <f>HYPERLINK("http://www.worldcat.org/oclc/16869076","WorldCat Record")</f>
        <v/>
      </c>
      <c r="AU104" t="inlineStr">
        <is>
          <t>13504776:eng</t>
        </is>
      </c>
      <c r="AV104" t="inlineStr">
        <is>
          <t>16869076</t>
        </is>
      </c>
      <c r="AW104" t="inlineStr">
        <is>
          <t>991001157369702656</t>
        </is>
      </c>
      <c r="AX104" t="inlineStr">
        <is>
          <t>991001157369702656</t>
        </is>
      </c>
      <c r="AY104" t="inlineStr">
        <is>
          <t>2255317850002656</t>
        </is>
      </c>
      <c r="AZ104" t="inlineStr">
        <is>
          <t>BOOK</t>
        </is>
      </c>
      <c r="BB104" t="inlineStr">
        <is>
          <t>9780387965819</t>
        </is>
      </c>
      <c r="BC104" t="inlineStr">
        <is>
          <t>32285000133602</t>
        </is>
      </c>
      <c r="BD104" t="inlineStr">
        <is>
          <t>893891354</t>
        </is>
      </c>
    </row>
    <row r="105">
      <c r="A105" t="inlineStr">
        <is>
          <t>No</t>
        </is>
      </c>
      <c r="B105" t="inlineStr">
        <is>
          <t>BF121 .S82</t>
        </is>
      </c>
      <c r="C105" t="inlineStr">
        <is>
          <t>0                      BF 0121000S  82</t>
        </is>
      </c>
      <c r="D105" t="inlineStr">
        <is>
          <t>Complex human behavior; a systematic extension of learning principles [by] Arthur W. Staats and Carolyn K. Staats.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Staats, Arthur W.</t>
        </is>
      </c>
      <c r="L105" t="inlineStr">
        <is>
          <t>New York, Holt, Rinehart and Winston [c1963]</t>
        </is>
      </c>
      <c r="M105" t="inlineStr">
        <is>
          <t>1963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BF </t>
        </is>
      </c>
      <c r="S105" t="n">
        <v>2</v>
      </c>
      <c r="T105" t="n">
        <v>2</v>
      </c>
      <c r="U105" t="inlineStr">
        <is>
          <t>2004-02-16</t>
        </is>
      </c>
      <c r="V105" t="inlineStr">
        <is>
          <t>2004-02-16</t>
        </is>
      </c>
      <c r="W105" t="inlineStr">
        <is>
          <t>1996-07-24</t>
        </is>
      </c>
      <c r="X105" t="inlineStr">
        <is>
          <t>1996-07-24</t>
        </is>
      </c>
      <c r="Y105" t="n">
        <v>701</v>
      </c>
      <c r="Z105" t="n">
        <v>557</v>
      </c>
      <c r="AA105" t="n">
        <v>639</v>
      </c>
      <c r="AB105" t="n">
        <v>5</v>
      </c>
      <c r="AC105" t="n">
        <v>6</v>
      </c>
      <c r="AD105" t="n">
        <v>23</v>
      </c>
      <c r="AE105" t="n">
        <v>27</v>
      </c>
      <c r="AF105" t="n">
        <v>6</v>
      </c>
      <c r="AG105" t="n">
        <v>8</v>
      </c>
      <c r="AH105" t="n">
        <v>5</v>
      </c>
      <c r="AI105" t="n">
        <v>5</v>
      </c>
      <c r="AJ105" t="n">
        <v>13</v>
      </c>
      <c r="AK105" t="n">
        <v>14</v>
      </c>
      <c r="AL105" t="n">
        <v>4</v>
      </c>
      <c r="AM105" t="n">
        <v>5</v>
      </c>
      <c r="AN105" t="n">
        <v>0</v>
      </c>
      <c r="AO105" t="n">
        <v>0</v>
      </c>
      <c r="AP105" t="inlineStr">
        <is>
          <t>Yes</t>
        </is>
      </c>
      <c r="AQ105" t="inlineStr">
        <is>
          <t>No</t>
        </is>
      </c>
      <c r="AR105">
        <f>HYPERLINK("http://catalog.hathitrust.org/Record/000617263","HathiTrust Record")</f>
        <v/>
      </c>
      <c r="AS105">
        <f>HYPERLINK("https://creighton-primo.hosted.exlibrisgroup.com/primo-explore/search?tab=default_tab&amp;search_scope=EVERYTHING&amp;vid=01CRU&amp;lang=en_US&amp;offset=0&amp;query=any,contains,991003176759702656","Catalog Record")</f>
        <v/>
      </c>
      <c r="AT105">
        <f>HYPERLINK("http://www.worldcat.org/oclc/710938","WorldCat Record")</f>
        <v/>
      </c>
      <c r="AU105" t="inlineStr">
        <is>
          <t>1654932:eng</t>
        </is>
      </c>
      <c r="AV105" t="inlineStr">
        <is>
          <t>710938</t>
        </is>
      </c>
      <c r="AW105" t="inlineStr">
        <is>
          <t>991003176759702656</t>
        </is>
      </c>
      <c r="AX105" t="inlineStr">
        <is>
          <t>991003176759702656</t>
        </is>
      </c>
      <c r="AY105" t="inlineStr">
        <is>
          <t>2262468080002656</t>
        </is>
      </c>
      <c r="AZ105" t="inlineStr">
        <is>
          <t>BOOK</t>
        </is>
      </c>
      <c r="BC105" t="inlineStr">
        <is>
          <t>32285002234614</t>
        </is>
      </c>
      <c r="BD105" t="inlineStr">
        <is>
          <t>893774478</t>
        </is>
      </c>
    </row>
    <row r="106">
      <c r="A106" t="inlineStr">
        <is>
          <t>No</t>
        </is>
      </c>
      <c r="B106" t="inlineStr">
        <is>
          <t>BF121.J3 W5 1968</t>
        </is>
      </c>
      <c r="C106" t="inlineStr">
        <is>
          <t>0                      BF 0121000J  3                  W  5           1968</t>
        </is>
      </c>
      <c r="D106" t="inlineStr">
        <is>
          <t>William James and phenomenology; a study of The principles of psychology.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Wilshire, Bruce W., 1932-</t>
        </is>
      </c>
      <c r="L106" t="inlineStr">
        <is>
          <t>Bloomington, Indiana University Press [1968]</t>
        </is>
      </c>
      <c r="M106" t="inlineStr">
        <is>
          <t>1968</t>
        </is>
      </c>
      <c r="O106" t="inlineStr">
        <is>
          <t>eng</t>
        </is>
      </c>
      <c r="P106" t="inlineStr">
        <is>
          <t>inu</t>
        </is>
      </c>
      <c r="R106" t="inlineStr">
        <is>
          <t xml:space="preserve">BF </t>
        </is>
      </c>
      <c r="S106" t="n">
        <v>6</v>
      </c>
      <c r="T106" t="n">
        <v>6</v>
      </c>
      <c r="U106" t="inlineStr">
        <is>
          <t>2010-01-18</t>
        </is>
      </c>
      <c r="V106" t="inlineStr">
        <is>
          <t>2010-01-18</t>
        </is>
      </c>
      <c r="W106" t="inlineStr">
        <is>
          <t>1996-07-24</t>
        </is>
      </c>
      <c r="X106" t="inlineStr">
        <is>
          <t>1996-07-24</t>
        </is>
      </c>
      <c r="Y106" t="n">
        <v>726</v>
      </c>
      <c r="Z106" t="n">
        <v>629</v>
      </c>
      <c r="AA106" t="n">
        <v>710</v>
      </c>
      <c r="AB106" t="n">
        <v>5</v>
      </c>
      <c r="AC106" t="n">
        <v>6</v>
      </c>
      <c r="AD106" t="n">
        <v>40</v>
      </c>
      <c r="AE106" t="n">
        <v>44</v>
      </c>
      <c r="AF106" t="n">
        <v>17</v>
      </c>
      <c r="AG106" t="n">
        <v>18</v>
      </c>
      <c r="AH106" t="n">
        <v>8</v>
      </c>
      <c r="AI106" t="n">
        <v>9</v>
      </c>
      <c r="AJ106" t="n">
        <v>20</v>
      </c>
      <c r="AK106" t="n">
        <v>22</v>
      </c>
      <c r="AL106" t="n">
        <v>4</v>
      </c>
      <c r="AM106" t="n">
        <v>5</v>
      </c>
      <c r="AN106" t="n">
        <v>0</v>
      </c>
      <c r="AO106" t="n">
        <v>0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HYPERLINK("http://catalog.hathitrust.org/Record/000581729","HathiTrust Record")</f>
        <v/>
      </c>
      <c r="AS106">
        <f>HYPERLINK("https://creighton-primo.hosted.exlibrisgroup.com/primo-explore/search?tab=default_tab&amp;search_scope=EVERYTHING&amp;vid=01CRU&amp;lang=en_US&amp;offset=0&amp;query=any,contains,991002400689702656","Catalog Record")</f>
        <v/>
      </c>
      <c r="AT106">
        <f>HYPERLINK("http://www.worldcat.org/oclc/336620","WorldCat Record")</f>
        <v/>
      </c>
      <c r="AU106" t="inlineStr">
        <is>
          <t>475376:eng</t>
        </is>
      </c>
      <c r="AV106" t="inlineStr">
        <is>
          <t>336620</t>
        </is>
      </c>
      <c r="AW106" t="inlineStr">
        <is>
          <t>991002400689702656</t>
        </is>
      </c>
      <c r="AX106" t="inlineStr">
        <is>
          <t>991002400689702656</t>
        </is>
      </c>
      <c r="AY106" t="inlineStr">
        <is>
          <t>2254723050002656</t>
        </is>
      </c>
      <c r="AZ106" t="inlineStr">
        <is>
          <t>BOOK</t>
        </is>
      </c>
      <c r="BC106" t="inlineStr">
        <is>
          <t>32285002234390</t>
        </is>
      </c>
      <c r="BD106" t="inlineStr">
        <is>
          <t>893609816</t>
        </is>
      </c>
    </row>
    <row r="107">
      <c r="A107" t="inlineStr">
        <is>
          <t>No</t>
        </is>
      </c>
      <c r="B107" t="inlineStr">
        <is>
          <t>BF1211 .P93</t>
        </is>
      </c>
      <c r="C107" t="inlineStr">
        <is>
          <t>0                      BF 1211000P  93</t>
        </is>
      </c>
      <c r="D107" t="inlineStr">
        <is>
          <t>The dissociation of a personality; a biographical study in abnormal psychology, by Morton Prince ...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Prince, Morton, 1854-1929.</t>
        </is>
      </c>
      <c r="L107" t="inlineStr">
        <is>
          <t>New York [etc.] Longmans, Green, and co., 1905.</t>
        </is>
      </c>
      <c r="M107" t="inlineStr">
        <is>
          <t>1905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BF </t>
        </is>
      </c>
      <c r="S107" t="n">
        <v>2</v>
      </c>
      <c r="T107" t="n">
        <v>2</v>
      </c>
      <c r="U107" t="inlineStr">
        <is>
          <t>1999-09-26</t>
        </is>
      </c>
      <c r="V107" t="inlineStr">
        <is>
          <t>1999-09-26</t>
        </is>
      </c>
      <c r="W107" t="inlineStr">
        <is>
          <t>1996-08-07</t>
        </is>
      </c>
      <c r="X107" t="inlineStr">
        <is>
          <t>1996-08-07</t>
        </is>
      </c>
      <c r="Y107" t="n">
        <v>28</v>
      </c>
      <c r="Z107" t="n">
        <v>22</v>
      </c>
      <c r="AA107" t="n">
        <v>732</v>
      </c>
      <c r="AB107" t="n">
        <v>2</v>
      </c>
      <c r="AC107" t="n">
        <v>4</v>
      </c>
      <c r="AD107" t="n">
        <v>3</v>
      </c>
      <c r="AE107" t="n">
        <v>31</v>
      </c>
      <c r="AF107" t="n">
        <v>1</v>
      </c>
      <c r="AG107" t="n">
        <v>12</v>
      </c>
      <c r="AH107" t="n">
        <v>1</v>
      </c>
      <c r="AI107" t="n">
        <v>7</v>
      </c>
      <c r="AJ107" t="n">
        <v>1</v>
      </c>
      <c r="AK107" t="n">
        <v>16</v>
      </c>
      <c r="AL107" t="n">
        <v>1</v>
      </c>
      <c r="AM107" t="n">
        <v>3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HYPERLINK("https://creighton-primo.hosted.exlibrisgroup.com/primo-explore/search?tab=default_tab&amp;search_scope=EVERYTHING&amp;vid=01CRU&amp;lang=en_US&amp;offset=0&amp;query=any,contains,991000041309702656","Catalog Record")</f>
        <v/>
      </c>
      <c r="AT107">
        <f>HYPERLINK("http://www.worldcat.org/oclc/8654432","WorldCat Record")</f>
        <v/>
      </c>
      <c r="AU107" t="inlineStr">
        <is>
          <t>499520:eng</t>
        </is>
      </c>
      <c r="AV107" t="inlineStr">
        <is>
          <t>8654432</t>
        </is>
      </c>
      <c r="AW107" t="inlineStr">
        <is>
          <t>991000041309702656</t>
        </is>
      </c>
      <c r="AX107" t="inlineStr">
        <is>
          <t>991000041309702656</t>
        </is>
      </c>
      <c r="AY107" t="inlineStr">
        <is>
          <t>2269419940002656</t>
        </is>
      </c>
      <c r="AZ107" t="inlineStr">
        <is>
          <t>BOOK</t>
        </is>
      </c>
      <c r="BC107" t="inlineStr">
        <is>
          <t>32285002257987</t>
        </is>
      </c>
      <c r="BD107" t="inlineStr">
        <is>
          <t>893242923</t>
        </is>
      </c>
    </row>
    <row r="108">
      <c r="A108" t="inlineStr">
        <is>
          <t>No</t>
        </is>
      </c>
      <c r="B108" t="inlineStr">
        <is>
          <t>BF1261 .B47</t>
        </is>
      </c>
      <c r="C108" t="inlineStr">
        <is>
          <t>0                      BF 1261000B  47</t>
        </is>
      </c>
      <c r="D108" t="inlineStr">
        <is>
          <t>Spiritism, facts and frauds, by Simon Augustine Blackmore. With an introduction by the Right Rev. Joseph Schrembs.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Blackmore, Simon Augustine, 1848-1926.</t>
        </is>
      </c>
      <c r="L108" t="inlineStr">
        <is>
          <t>New York, Benziger brothers, 1924.</t>
        </is>
      </c>
      <c r="M108" t="inlineStr">
        <is>
          <t>1924</t>
        </is>
      </c>
      <c r="O108" t="inlineStr">
        <is>
          <t>eng</t>
        </is>
      </c>
      <c r="P108" t="inlineStr">
        <is>
          <t xml:space="preserve">xx </t>
        </is>
      </c>
      <c r="R108" t="inlineStr">
        <is>
          <t xml:space="preserve">BF </t>
        </is>
      </c>
      <c r="S108" t="n">
        <v>1</v>
      </c>
      <c r="T108" t="n">
        <v>1</v>
      </c>
      <c r="U108" t="inlineStr">
        <is>
          <t>2009-11-23</t>
        </is>
      </c>
      <c r="V108" t="inlineStr">
        <is>
          <t>2009-11-23</t>
        </is>
      </c>
      <c r="W108" t="inlineStr">
        <is>
          <t>1996-08-07</t>
        </is>
      </c>
      <c r="X108" t="inlineStr">
        <is>
          <t>1996-08-07</t>
        </is>
      </c>
      <c r="Y108" t="n">
        <v>75</v>
      </c>
      <c r="Z108" t="n">
        <v>67</v>
      </c>
      <c r="AA108" t="n">
        <v>76</v>
      </c>
      <c r="AB108" t="n">
        <v>1</v>
      </c>
      <c r="AC108" t="n">
        <v>1</v>
      </c>
      <c r="AD108" t="n">
        <v>17</v>
      </c>
      <c r="AE108" t="n">
        <v>17</v>
      </c>
      <c r="AF108" t="n">
        <v>4</v>
      </c>
      <c r="AG108" t="n">
        <v>4</v>
      </c>
      <c r="AH108" t="n">
        <v>5</v>
      </c>
      <c r="AI108" t="n">
        <v>5</v>
      </c>
      <c r="AJ108" t="n">
        <v>14</v>
      </c>
      <c r="AK108" t="n">
        <v>14</v>
      </c>
      <c r="AL108" t="n">
        <v>0</v>
      </c>
      <c r="AM108" t="n">
        <v>0</v>
      </c>
      <c r="AN108" t="n">
        <v>0</v>
      </c>
      <c r="AO108" t="n">
        <v>0</v>
      </c>
      <c r="AP108" t="inlineStr">
        <is>
          <t>Yes</t>
        </is>
      </c>
      <c r="AQ108" t="inlineStr">
        <is>
          <t>No</t>
        </is>
      </c>
      <c r="AR108">
        <f>HYPERLINK("http://catalog.hathitrust.org/Record/005767856","HathiTrust Record")</f>
        <v/>
      </c>
      <c r="AS108">
        <f>HYPERLINK("https://creighton-primo.hosted.exlibrisgroup.com/primo-explore/search?tab=default_tab&amp;search_scope=EVERYTHING&amp;vid=01CRU&amp;lang=en_US&amp;offset=0&amp;query=any,contains,991003565979702656","Catalog Record")</f>
        <v/>
      </c>
      <c r="AT108">
        <f>HYPERLINK("http://www.worldcat.org/oclc/1138456","WorldCat Record")</f>
        <v/>
      </c>
      <c r="AU108" t="inlineStr">
        <is>
          <t>2058173:eng</t>
        </is>
      </c>
      <c r="AV108" t="inlineStr">
        <is>
          <t>1138456</t>
        </is>
      </c>
      <c r="AW108" t="inlineStr">
        <is>
          <t>991003565979702656</t>
        </is>
      </c>
      <c r="AX108" t="inlineStr">
        <is>
          <t>991003565979702656</t>
        </is>
      </c>
      <c r="AY108" t="inlineStr">
        <is>
          <t>2270467500002656</t>
        </is>
      </c>
      <c r="AZ108" t="inlineStr">
        <is>
          <t>BOOK</t>
        </is>
      </c>
      <c r="BC108" t="inlineStr">
        <is>
          <t>32285002258027</t>
        </is>
      </c>
      <c r="BD108" t="inlineStr">
        <is>
          <t>893623628</t>
        </is>
      </c>
    </row>
    <row r="109">
      <c r="A109" t="inlineStr">
        <is>
          <t>No</t>
        </is>
      </c>
      <c r="B109" t="inlineStr">
        <is>
          <t>BF1261 .M285 1984</t>
        </is>
      </c>
      <c r="C109" t="inlineStr">
        <is>
          <t>0                      BF 1261000M  285         1984</t>
        </is>
      </c>
      <c r="D109" t="inlineStr">
        <is>
          <t>Out of the silence : a book of factual fantasies / by Patrick Mahony ; with a foreword by Maurice Maeterlinck.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Mahony, Patrick, 1911-</t>
        </is>
      </c>
      <c r="L109" t="inlineStr">
        <is>
          <t>Washington, DC : Institute for the Study of Man, c1984.</t>
        </is>
      </c>
      <c r="M109" t="inlineStr">
        <is>
          <t>1948</t>
        </is>
      </c>
      <c r="O109" t="inlineStr">
        <is>
          <t>eng</t>
        </is>
      </c>
      <c r="P109" t="inlineStr">
        <is>
          <t>dcu</t>
        </is>
      </c>
      <c r="R109" t="inlineStr">
        <is>
          <t xml:space="preserve">BF </t>
        </is>
      </c>
      <c r="S109" t="n">
        <v>2</v>
      </c>
      <c r="T109" t="n">
        <v>2</v>
      </c>
      <c r="U109" t="inlineStr">
        <is>
          <t>2002-10-31</t>
        </is>
      </c>
      <c r="V109" t="inlineStr">
        <is>
          <t>2002-10-31</t>
        </is>
      </c>
      <c r="W109" t="inlineStr">
        <is>
          <t>1993-04-12</t>
        </is>
      </c>
      <c r="X109" t="inlineStr">
        <is>
          <t>1993-04-12</t>
        </is>
      </c>
      <c r="Y109" t="n">
        <v>814</v>
      </c>
      <c r="Z109" t="n">
        <v>813</v>
      </c>
      <c r="AA109" t="n">
        <v>871</v>
      </c>
      <c r="AB109" t="n">
        <v>8</v>
      </c>
      <c r="AC109" t="n">
        <v>9</v>
      </c>
      <c r="AD109" t="n">
        <v>19</v>
      </c>
      <c r="AE109" t="n">
        <v>20</v>
      </c>
      <c r="AF109" t="n">
        <v>8</v>
      </c>
      <c r="AG109" t="n">
        <v>9</v>
      </c>
      <c r="AH109" t="n">
        <v>3</v>
      </c>
      <c r="AI109" t="n">
        <v>3</v>
      </c>
      <c r="AJ109" t="n">
        <v>9</v>
      </c>
      <c r="AK109" t="n">
        <v>9</v>
      </c>
      <c r="AL109" t="n">
        <v>3</v>
      </c>
      <c r="AM109" t="n">
        <v>3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HYPERLINK("https://creighton-primo.hosted.exlibrisgroup.com/primo-explore/search?tab=default_tab&amp;search_scope=EVERYTHING&amp;vid=01CRU&amp;lang=en_US&amp;offset=0&amp;query=any,contains,991000401589702656","Catalog Record")</f>
        <v/>
      </c>
      <c r="AT109">
        <f>HYPERLINK("http://www.worldcat.org/oclc/10612161","WorldCat Record")</f>
        <v/>
      </c>
      <c r="AU109" t="inlineStr">
        <is>
          <t>425434747:eng</t>
        </is>
      </c>
      <c r="AV109" t="inlineStr">
        <is>
          <t>10612161</t>
        </is>
      </c>
      <c r="AW109" t="inlineStr">
        <is>
          <t>991000401589702656</t>
        </is>
      </c>
      <c r="AX109" t="inlineStr">
        <is>
          <t>991000401589702656</t>
        </is>
      </c>
      <c r="AY109" t="inlineStr">
        <is>
          <t>2259020350002656</t>
        </is>
      </c>
      <c r="AZ109" t="inlineStr">
        <is>
          <t>BOOK</t>
        </is>
      </c>
      <c r="BB109" t="inlineStr">
        <is>
          <t>9780941694179</t>
        </is>
      </c>
      <c r="BC109" t="inlineStr">
        <is>
          <t>32285001616506</t>
        </is>
      </c>
      <c r="BD109" t="inlineStr">
        <is>
          <t>893407144</t>
        </is>
      </c>
    </row>
    <row r="110">
      <c r="A110" t="inlineStr">
        <is>
          <t>No</t>
        </is>
      </c>
      <c r="B110" t="inlineStr">
        <is>
          <t>BF1275.C3 T5</t>
        </is>
      </c>
      <c r="C110" t="inlineStr">
        <is>
          <t>0                      BF 1275000C  3                  T  5</t>
        </is>
      </c>
      <c r="D110" t="inlineStr">
        <is>
          <t>The church and spiritualism, by Herbert Thurston.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Thurston, Herbert, 1856-1939.</t>
        </is>
      </c>
      <c r="L110" t="inlineStr">
        <is>
          <t>Milwaukee, Bruce Publishing Co. [c1933]</t>
        </is>
      </c>
      <c r="M110" t="inlineStr">
        <is>
          <t>1933</t>
        </is>
      </c>
      <c r="O110" t="inlineStr">
        <is>
          <t>eng</t>
        </is>
      </c>
      <c r="P110" t="inlineStr">
        <is>
          <t>wiu</t>
        </is>
      </c>
      <c r="Q110" t="inlineStr">
        <is>
          <t>Science and culture series</t>
        </is>
      </c>
      <c r="R110" t="inlineStr">
        <is>
          <t xml:space="preserve">BF </t>
        </is>
      </c>
      <c r="S110" t="n">
        <v>3</v>
      </c>
      <c r="T110" t="n">
        <v>3</v>
      </c>
      <c r="U110" t="inlineStr">
        <is>
          <t>2001-08-26</t>
        </is>
      </c>
      <c r="V110" t="inlineStr">
        <is>
          <t>2001-08-26</t>
        </is>
      </c>
      <c r="W110" t="inlineStr">
        <is>
          <t>1996-08-07</t>
        </is>
      </c>
      <c r="X110" t="inlineStr">
        <is>
          <t>1996-08-07</t>
        </is>
      </c>
      <c r="Y110" t="n">
        <v>158</v>
      </c>
      <c r="Z110" t="n">
        <v>134</v>
      </c>
      <c r="AA110" t="n">
        <v>159</v>
      </c>
      <c r="AB110" t="n">
        <v>2</v>
      </c>
      <c r="AC110" t="n">
        <v>2</v>
      </c>
      <c r="AD110" t="n">
        <v>23</v>
      </c>
      <c r="AE110" t="n">
        <v>23</v>
      </c>
      <c r="AF110" t="n">
        <v>7</v>
      </c>
      <c r="AG110" t="n">
        <v>7</v>
      </c>
      <c r="AH110" t="n">
        <v>4</v>
      </c>
      <c r="AI110" t="n">
        <v>4</v>
      </c>
      <c r="AJ110" t="n">
        <v>21</v>
      </c>
      <c r="AK110" t="n">
        <v>21</v>
      </c>
      <c r="AL110" t="n">
        <v>0</v>
      </c>
      <c r="AM110" t="n">
        <v>0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HYPERLINK("https://creighton-primo.hosted.exlibrisgroup.com/primo-explore/search?tab=default_tab&amp;search_scope=EVERYTHING&amp;vid=01CRU&amp;lang=en_US&amp;offset=0&amp;query=any,contains,991003751779702656","Catalog Record")</f>
        <v/>
      </c>
      <c r="AT110">
        <f>HYPERLINK("http://www.worldcat.org/oclc/1429280","WorldCat Record")</f>
        <v/>
      </c>
      <c r="AU110" t="inlineStr">
        <is>
          <t>2309421:eng</t>
        </is>
      </c>
      <c r="AV110" t="inlineStr">
        <is>
          <t>1429280</t>
        </is>
      </c>
      <c r="AW110" t="inlineStr">
        <is>
          <t>991003751779702656</t>
        </is>
      </c>
      <c r="AX110" t="inlineStr">
        <is>
          <t>991003751779702656</t>
        </is>
      </c>
      <c r="AY110" t="inlineStr">
        <is>
          <t>2266355700002656</t>
        </is>
      </c>
      <c r="AZ110" t="inlineStr">
        <is>
          <t>BOOK</t>
        </is>
      </c>
      <c r="BC110" t="inlineStr">
        <is>
          <t>32285002258084</t>
        </is>
      </c>
      <c r="BD110" t="inlineStr">
        <is>
          <t>893422902</t>
        </is>
      </c>
    </row>
    <row r="111">
      <c r="A111" t="inlineStr">
        <is>
          <t>No</t>
        </is>
      </c>
      <c r="B111" t="inlineStr">
        <is>
          <t>BF1275.W65 B73 1989</t>
        </is>
      </c>
      <c r="C111" t="inlineStr">
        <is>
          <t>0                      BF 1275000W  65                 B  73          1989</t>
        </is>
      </c>
      <c r="D111" t="inlineStr">
        <is>
          <t>Radical spirits : spiritualism and women's rights in nineteenth-century America / Ann Braude.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Braude, Ann.</t>
        </is>
      </c>
      <c r="L111" t="inlineStr">
        <is>
          <t>Boston, Mass. : Beacon Press, c1989.</t>
        </is>
      </c>
      <c r="M111" t="inlineStr">
        <is>
          <t>1989</t>
        </is>
      </c>
      <c r="O111" t="inlineStr">
        <is>
          <t>eng</t>
        </is>
      </c>
      <c r="P111" t="inlineStr">
        <is>
          <t>mau</t>
        </is>
      </c>
      <c r="R111" t="inlineStr">
        <is>
          <t xml:space="preserve">BF </t>
        </is>
      </c>
      <c r="S111" t="n">
        <v>7</v>
      </c>
      <c r="T111" t="n">
        <v>7</v>
      </c>
      <c r="U111" t="inlineStr">
        <is>
          <t>2010-02-04</t>
        </is>
      </c>
      <c r="V111" t="inlineStr">
        <is>
          <t>2010-02-04</t>
        </is>
      </c>
      <c r="W111" t="inlineStr">
        <is>
          <t>1991-12-02</t>
        </is>
      </c>
      <c r="X111" t="inlineStr">
        <is>
          <t>1991-12-02</t>
        </is>
      </c>
      <c r="Y111" t="n">
        <v>750</v>
      </c>
      <c r="Z111" t="n">
        <v>666</v>
      </c>
      <c r="AA111" t="n">
        <v>937</v>
      </c>
      <c r="AB111" t="n">
        <v>5</v>
      </c>
      <c r="AC111" t="n">
        <v>5</v>
      </c>
      <c r="AD111" t="n">
        <v>29</v>
      </c>
      <c r="AE111" t="n">
        <v>42</v>
      </c>
      <c r="AF111" t="n">
        <v>11</v>
      </c>
      <c r="AG111" t="n">
        <v>19</v>
      </c>
      <c r="AH111" t="n">
        <v>6</v>
      </c>
      <c r="AI111" t="n">
        <v>10</v>
      </c>
      <c r="AJ111" t="n">
        <v>13</v>
      </c>
      <c r="AK111" t="n">
        <v>19</v>
      </c>
      <c r="AL111" t="n">
        <v>4</v>
      </c>
      <c r="AM111" t="n">
        <v>4</v>
      </c>
      <c r="AN111" t="n">
        <v>0</v>
      </c>
      <c r="AO111" t="n">
        <v>0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HYPERLINK("http://catalog.hathitrust.org/Record/001831483","HathiTrust Record")</f>
        <v/>
      </c>
      <c r="AS111">
        <f>HYPERLINK("https://creighton-primo.hosted.exlibrisgroup.com/primo-explore/search?tab=default_tab&amp;search_scope=EVERYTHING&amp;vid=01CRU&amp;lang=en_US&amp;offset=0&amp;query=any,contains,991001507009702656","Catalog Record")</f>
        <v/>
      </c>
      <c r="AT111">
        <f>HYPERLINK("http://www.worldcat.org/oclc/19846847","WorldCat Record")</f>
        <v/>
      </c>
      <c r="AU111" t="inlineStr">
        <is>
          <t>21924110:eng</t>
        </is>
      </c>
      <c r="AV111" t="inlineStr">
        <is>
          <t>19846847</t>
        </is>
      </c>
      <c r="AW111" t="inlineStr">
        <is>
          <t>991001507009702656</t>
        </is>
      </c>
      <c r="AX111" t="inlineStr">
        <is>
          <t>991001507009702656</t>
        </is>
      </c>
      <c r="AY111" t="inlineStr">
        <is>
          <t>2265597010002656</t>
        </is>
      </c>
      <c r="AZ111" t="inlineStr">
        <is>
          <t>BOOK</t>
        </is>
      </c>
      <c r="BB111" t="inlineStr">
        <is>
          <t>9780807075005</t>
        </is>
      </c>
      <c r="BC111" t="inlineStr">
        <is>
          <t>32285000818335</t>
        </is>
      </c>
      <c r="BD111" t="inlineStr">
        <is>
          <t>893791489</t>
        </is>
      </c>
    </row>
    <row r="112">
      <c r="A112" t="inlineStr">
        <is>
          <t>No</t>
        </is>
      </c>
      <c r="B112" t="inlineStr">
        <is>
          <t>BF131 .A63</t>
        </is>
      </c>
      <c r="C112" t="inlineStr">
        <is>
          <t>0                      BF 0131000A  63</t>
        </is>
      </c>
      <c r="D112" t="inlineStr">
        <is>
          <t>Fundamentals of scientific method in psychology / [by] Malcolm D. Arnoult.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Arnoult, Malcolm D.</t>
        </is>
      </c>
      <c r="L112" t="inlineStr">
        <is>
          <t>Dubuque, Iowa : W. C. Brown Co., [1972]</t>
        </is>
      </c>
      <c r="M112" t="inlineStr">
        <is>
          <t>1972</t>
        </is>
      </c>
      <c r="O112" t="inlineStr">
        <is>
          <t>eng</t>
        </is>
      </c>
      <c r="P112" t="inlineStr">
        <is>
          <t>iau</t>
        </is>
      </c>
      <c r="Q112" t="inlineStr">
        <is>
          <t>Fundamentals of psychology series</t>
        </is>
      </c>
      <c r="R112" t="inlineStr">
        <is>
          <t xml:space="preserve">BF </t>
        </is>
      </c>
      <c r="S112" t="n">
        <v>11</v>
      </c>
      <c r="T112" t="n">
        <v>11</v>
      </c>
      <c r="U112" t="inlineStr">
        <is>
          <t>2005-08-31</t>
        </is>
      </c>
      <c r="V112" t="inlineStr">
        <is>
          <t>2005-08-31</t>
        </is>
      </c>
      <c r="W112" t="inlineStr">
        <is>
          <t>1994-02-03</t>
        </is>
      </c>
      <c r="X112" t="inlineStr">
        <is>
          <t>1994-02-03</t>
        </is>
      </c>
      <c r="Y112" t="n">
        <v>238</v>
      </c>
      <c r="Z112" t="n">
        <v>200</v>
      </c>
      <c r="AA112" t="n">
        <v>279</v>
      </c>
      <c r="AB112" t="n">
        <v>1</v>
      </c>
      <c r="AC112" t="n">
        <v>2</v>
      </c>
      <c r="AD112" t="n">
        <v>8</v>
      </c>
      <c r="AE112" t="n">
        <v>11</v>
      </c>
      <c r="AF112" t="n">
        <v>4</v>
      </c>
      <c r="AG112" t="n">
        <v>5</v>
      </c>
      <c r="AH112" t="n">
        <v>1</v>
      </c>
      <c r="AI112" t="n">
        <v>1</v>
      </c>
      <c r="AJ112" t="n">
        <v>6</v>
      </c>
      <c r="AK112" t="n">
        <v>8</v>
      </c>
      <c r="AL112" t="n">
        <v>0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HYPERLINK("http://catalog.hathitrust.org/Record/007412318","HathiTrust Record")</f>
        <v/>
      </c>
      <c r="AS112">
        <f>HYPERLINK("https://creighton-primo.hosted.exlibrisgroup.com/primo-explore/search?tab=default_tab&amp;search_scope=EVERYTHING&amp;vid=01CRU&amp;lang=en_US&amp;offset=0&amp;query=any,contains,991002295959702656","Catalog Record")</f>
        <v/>
      </c>
      <c r="AT112">
        <f>HYPERLINK("http://www.worldcat.org/oclc/315422","WorldCat Record")</f>
        <v/>
      </c>
      <c r="AU112" t="inlineStr">
        <is>
          <t>103260350:eng</t>
        </is>
      </c>
      <c r="AV112" t="inlineStr">
        <is>
          <t>315422</t>
        </is>
      </c>
      <c r="AW112" t="inlineStr">
        <is>
          <t>991002295959702656</t>
        </is>
      </c>
      <c r="AX112" t="inlineStr">
        <is>
          <t>991002295959702656</t>
        </is>
      </c>
      <c r="AY112" t="inlineStr">
        <is>
          <t>2268866640002656</t>
        </is>
      </c>
      <c r="AZ112" t="inlineStr">
        <is>
          <t>BOOK</t>
        </is>
      </c>
      <c r="BB112" t="inlineStr">
        <is>
          <t>9780697066107</t>
        </is>
      </c>
      <c r="BC112" t="inlineStr">
        <is>
          <t>32285001837128</t>
        </is>
      </c>
      <c r="BD112" t="inlineStr">
        <is>
          <t>893603425</t>
        </is>
      </c>
    </row>
    <row r="113">
      <c r="A113" t="inlineStr">
        <is>
          <t>No</t>
        </is>
      </c>
      <c r="B113" t="inlineStr">
        <is>
          <t>BF131 .G646</t>
        </is>
      </c>
      <c r="C113" t="inlineStr">
        <is>
          <t>0                      BF 0131000G  646</t>
        </is>
      </c>
      <c r="D113" t="inlineStr">
        <is>
          <t>Psychology for law enforcement / Edward J. Green.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Green, Edward J., 1924-</t>
        </is>
      </c>
      <c r="L113" t="inlineStr">
        <is>
          <t>New York : Wiley, [1976]</t>
        </is>
      </c>
      <c r="M113" t="inlineStr">
        <is>
          <t>1976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BF </t>
        </is>
      </c>
      <c r="S113" t="n">
        <v>6</v>
      </c>
      <c r="T113" t="n">
        <v>6</v>
      </c>
      <c r="U113" t="inlineStr">
        <is>
          <t>1999-11-16</t>
        </is>
      </c>
      <c r="V113" t="inlineStr">
        <is>
          <t>1999-11-16</t>
        </is>
      </c>
      <c r="W113" t="inlineStr">
        <is>
          <t>1996-07-24</t>
        </is>
      </c>
      <c r="X113" t="inlineStr">
        <is>
          <t>1996-07-24</t>
        </is>
      </c>
      <c r="Y113" t="n">
        <v>272</v>
      </c>
      <c r="Z113" t="n">
        <v>216</v>
      </c>
      <c r="AA113" t="n">
        <v>217</v>
      </c>
      <c r="AB113" t="n">
        <v>2</v>
      </c>
      <c r="AC113" t="n">
        <v>2</v>
      </c>
      <c r="AD113" t="n">
        <v>11</v>
      </c>
      <c r="AE113" t="n">
        <v>11</v>
      </c>
      <c r="AF113" t="n">
        <v>2</v>
      </c>
      <c r="AG113" t="n">
        <v>2</v>
      </c>
      <c r="AH113" t="n">
        <v>1</v>
      </c>
      <c r="AI113" t="n">
        <v>1</v>
      </c>
      <c r="AJ113" t="n">
        <v>6</v>
      </c>
      <c r="AK113" t="n">
        <v>6</v>
      </c>
      <c r="AL113" t="n">
        <v>1</v>
      </c>
      <c r="AM113" t="n">
        <v>1</v>
      </c>
      <c r="AN113" t="n">
        <v>3</v>
      </c>
      <c r="AO113" t="n">
        <v>3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HYPERLINK("http://catalog.hathitrust.org/Record/004443741","HathiTrust Record")</f>
        <v/>
      </c>
      <c r="AS113">
        <f>HYPERLINK("https://creighton-primo.hosted.exlibrisgroup.com/primo-explore/search?tab=default_tab&amp;search_scope=EVERYTHING&amp;vid=01CRU&amp;lang=en_US&amp;offset=0&amp;query=any,contains,991003719639702656","Catalog Record")</f>
        <v/>
      </c>
      <c r="AT113">
        <f>HYPERLINK("http://www.worldcat.org/oclc/1365236","WorldCat Record")</f>
        <v/>
      </c>
      <c r="AU113" t="inlineStr">
        <is>
          <t>2272120:eng</t>
        </is>
      </c>
      <c r="AV113" t="inlineStr">
        <is>
          <t>1365236</t>
        </is>
      </c>
      <c r="AW113" t="inlineStr">
        <is>
          <t>991003719639702656</t>
        </is>
      </c>
      <c r="AX113" t="inlineStr">
        <is>
          <t>991003719639702656</t>
        </is>
      </c>
      <c r="AY113" t="inlineStr">
        <is>
          <t>2256088030002656</t>
        </is>
      </c>
      <c r="AZ113" t="inlineStr">
        <is>
          <t>BOOK</t>
        </is>
      </c>
      <c r="BB113" t="inlineStr">
        <is>
          <t>9780471324744</t>
        </is>
      </c>
      <c r="BC113" t="inlineStr">
        <is>
          <t>32285002234796</t>
        </is>
      </c>
      <c r="BD113" t="inlineStr">
        <is>
          <t>893330702</t>
        </is>
      </c>
    </row>
    <row r="114">
      <c r="A114" t="inlineStr">
        <is>
          <t>No</t>
        </is>
      </c>
      <c r="B114" t="inlineStr">
        <is>
          <t>BF131 .T47 1946</t>
        </is>
      </c>
      <c r="C114" t="inlineStr">
        <is>
          <t>0                      BF 0131000T  47          1946</t>
        </is>
      </c>
      <c r="D114" t="inlineStr">
        <is>
          <t>The psychology of normal people [by] Joseph Tiffin, Frederic B. Knight, and Eston Jackson Asher.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Tiffin, Joseph, 1905-1989.</t>
        </is>
      </c>
      <c r="L114" t="inlineStr">
        <is>
          <t>Boston, D.C. Heath &amp; Co. [1946]</t>
        </is>
      </c>
      <c r="M114" t="inlineStr">
        <is>
          <t>1946</t>
        </is>
      </c>
      <c r="N114" t="inlineStr">
        <is>
          <t>Rev. ed.</t>
        </is>
      </c>
      <c r="O114" t="inlineStr">
        <is>
          <t>eng</t>
        </is>
      </c>
      <c r="P114" t="inlineStr">
        <is>
          <t>msu</t>
        </is>
      </c>
      <c r="R114" t="inlineStr">
        <is>
          <t xml:space="preserve">BF </t>
        </is>
      </c>
      <c r="S114" t="n">
        <v>4</v>
      </c>
      <c r="T114" t="n">
        <v>4</v>
      </c>
      <c r="U114" t="inlineStr">
        <is>
          <t>2000-11-28</t>
        </is>
      </c>
      <c r="V114" t="inlineStr">
        <is>
          <t>2000-11-28</t>
        </is>
      </c>
      <c r="W114" t="inlineStr">
        <is>
          <t>1996-07-24</t>
        </is>
      </c>
      <c r="X114" t="inlineStr">
        <is>
          <t>1996-07-24</t>
        </is>
      </c>
      <c r="Y114" t="n">
        <v>159</v>
      </c>
      <c r="Z114" t="n">
        <v>141</v>
      </c>
      <c r="AA114" t="n">
        <v>342</v>
      </c>
      <c r="AB114" t="n">
        <v>1</v>
      </c>
      <c r="AC114" t="n">
        <v>3</v>
      </c>
      <c r="AD114" t="n">
        <v>7</v>
      </c>
      <c r="AE114" t="n">
        <v>13</v>
      </c>
      <c r="AF114" t="n">
        <v>3</v>
      </c>
      <c r="AG114" t="n">
        <v>5</v>
      </c>
      <c r="AH114" t="n">
        <v>1</v>
      </c>
      <c r="AI114" t="n">
        <v>1</v>
      </c>
      <c r="AJ114" t="n">
        <v>5</v>
      </c>
      <c r="AK114" t="n">
        <v>7</v>
      </c>
      <c r="AL114" t="n">
        <v>0</v>
      </c>
      <c r="AM114" t="n">
        <v>2</v>
      </c>
      <c r="AN114" t="n">
        <v>0</v>
      </c>
      <c r="AO114" t="n">
        <v>0</v>
      </c>
      <c r="AP114" t="inlineStr">
        <is>
          <t>Yes</t>
        </is>
      </c>
      <c r="AQ114" t="inlineStr">
        <is>
          <t>No</t>
        </is>
      </c>
      <c r="AR114">
        <f>HYPERLINK("http://catalog.hathitrust.org/Record/009063353","HathiTrust Record")</f>
        <v/>
      </c>
      <c r="AS114">
        <f>HYPERLINK("https://creighton-primo.hosted.exlibrisgroup.com/primo-explore/search?tab=default_tab&amp;search_scope=EVERYTHING&amp;vid=01CRU&amp;lang=en_US&amp;offset=0&amp;query=any,contains,991003526989702656","Catalog Record")</f>
        <v/>
      </c>
      <c r="AT114">
        <f>HYPERLINK("http://www.worldcat.org/oclc/1090556","WorldCat Record")</f>
        <v/>
      </c>
      <c r="AU114" t="inlineStr">
        <is>
          <t>1707081:eng</t>
        </is>
      </c>
      <c r="AV114" t="inlineStr">
        <is>
          <t>1090556</t>
        </is>
      </c>
      <c r="AW114" t="inlineStr">
        <is>
          <t>991003526989702656</t>
        </is>
      </c>
      <c r="AX114" t="inlineStr">
        <is>
          <t>991003526989702656</t>
        </is>
      </c>
      <c r="AY114" t="inlineStr">
        <is>
          <t>2262806050002656</t>
        </is>
      </c>
      <c r="AZ114" t="inlineStr">
        <is>
          <t>BOOK</t>
        </is>
      </c>
      <c r="BC114" t="inlineStr">
        <is>
          <t>32285002234960</t>
        </is>
      </c>
      <c r="BD114" t="inlineStr">
        <is>
          <t>893705317</t>
        </is>
      </c>
    </row>
    <row r="115">
      <c r="A115" t="inlineStr">
        <is>
          <t>No</t>
        </is>
      </c>
      <c r="B115" t="inlineStr">
        <is>
          <t>BF131 .W24</t>
        </is>
      </c>
      <c r="C115" t="inlineStr">
        <is>
          <t>0                      BF 0131000W  24</t>
        </is>
      </c>
      <c r="D115" t="inlineStr">
        <is>
          <t>Persons and personality : an introduction to psychology / by Sister Annette Walters in collaboration with Sister Kevin O'Hara.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Walters, Annette, 1910-</t>
        </is>
      </c>
      <c r="L115" t="inlineStr">
        <is>
          <t>New York : Appleton-Century-Crofts, [c1953]</t>
        </is>
      </c>
      <c r="M115" t="inlineStr">
        <is>
          <t>1953</t>
        </is>
      </c>
      <c r="O115" t="inlineStr">
        <is>
          <t>eng</t>
        </is>
      </c>
      <c r="P115" t="inlineStr">
        <is>
          <t xml:space="preserve">xx </t>
        </is>
      </c>
      <c r="Q115" t="inlineStr">
        <is>
          <t>The Century psychology series</t>
        </is>
      </c>
      <c r="R115" t="inlineStr">
        <is>
          <t xml:space="preserve">BF </t>
        </is>
      </c>
      <c r="S115" t="n">
        <v>5</v>
      </c>
      <c r="T115" t="n">
        <v>5</v>
      </c>
      <c r="U115" t="inlineStr">
        <is>
          <t>1998-11-05</t>
        </is>
      </c>
      <c r="V115" t="inlineStr">
        <is>
          <t>1998-11-05</t>
        </is>
      </c>
      <c r="W115" t="inlineStr">
        <is>
          <t>1990-12-18</t>
        </is>
      </c>
      <c r="X115" t="inlineStr">
        <is>
          <t>1990-12-18</t>
        </is>
      </c>
      <c r="Y115" t="n">
        <v>198</v>
      </c>
      <c r="Z115" t="n">
        <v>170</v>
      </c>
      <c r="AA115" t="n">
        <v>172</v>
      </c>
      <c r="AB115" t="n">
        <v>2</v>
      </c>
      <c r="AC115" t="n">
        <v>2</v>
      </c>
      <c r="AD115" t="n">
        <v>16</v>
      </c>
      <c r="AE115" t="n">
        <v>16</v>
      </c>
      <c r="AF115" t="n">
        <v>3</v>
      </c>
      <c r="AG115" t="n">
        <v>3</v>
      </c>
      <c r="AH115" t="n">
        <v>3</v>
      </c>
      <c r="AI115" t="n">
        <v>3</v>
      </c>
      <c r="AJ115" t="n">
        <v>13</v>
      </c>
      <c r="AK115" t="n">
        <v>13</v>
      </c>
      <c r="AL115" t="n">
        <v>0</v>
      </c>
      <c r="AM115" t="n">
        <v>0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HYPERLINK("http://catalog.hathitrust.org/Record/012270728","HathiTrust Record")</f>
        <v/>
      </c>
      <c r="AS115">
        <f>HYPERLINK("https://creighton-primo.hosted.exlibrisgroup.com/primo-explore/search?tab=default_tab&amp;search_scope=EVERYTHING&amp;vid=01CRU&amp;lang=en_US&amp;offset=0&amp;query=any,contains,991002959089702656","Catalog Record")</f>
        <v/>
      </c>
      <c r="AT115">
        <f>HYPERLINK("http://www.worldcat.org/oclc/543233","WorldCat Record")</f>
        <v/>
      </c>
      <c r="AU115" t="inlineStr">
        <is>
          <t>396834:eng</t>
        </is>
      </c>
      <c r="AV115" t="inlineStr">
        <is>
          <t>543233</t>
        </is>
      </c>
      <c r="AW115" t="inlineStr">
        <is>
          <t>991002959089702656</t>
        </is>
      </c>
      <c r="AX115" t="inlineStr">
        <is>
          <t>991002959089702656</t>
        </is>
      </c>
      <c r="AY115" t="inlineStr">
        <is>
          <t>2265485970002656</t>
        </is>
      </c>
      <c r="AZ115" t="inlineStr">
        <is>
          <t>BOOK</t>
        </is>
      </c>
      <c r="BC115" t="inlineStr">
        <is>
          <t>32285000425974</t>
        </is>
      </c>
      <c r="BD115" t="inlineStr">
        <is>
          <t>893698497</t>
        </is>
      </c>
    </row>
    <row r="116">
      <c r="A116" t="inlineStr">
        <is>
          <t>No</t>
        </is>
      </c>
      <c r="B116" t="inlineStr">
        <is>
          <t>BF131 .W68</t>
        </is>
      </c>
      <c r="C116" t="inlineStr">
        <is>
          <t>0                      BF 0131000W  68</t>
        </is>
      </c>
      <c r="D116" t="inlineStr">
        <is>
          <t>Applied psychology for law enforcement and correction officers / [by] Robert J. Wicks.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Wicks, Robert J.</t>
        </is>
      </c>
      <c r="L116" t="inlineStr">
        <is>
          <t>New York : McGraw-Hill, [1974]</t>
        </is>
      </c>
      <c r="M116" t="inlineStr">
        <is>
          <t>1974</t>
        </is>
      </c>
      <c r="O116" t="inlineStr">
        <is>
          <t>eng</t>
        </is>
      </c>
      <c r="P116" t="inlineStr">
        <is>
          <t>nyu</t>
        </is>
      </c>
      <c r="R116" t="inlineStr">
        <is>
          <t xml:space="preserve">BF </t>
        </is>
      </c>
      <c r="S116" t="n">
        <v>2</v>
      </c>
      <c r="T116" t="n">
        <v>2</v>
      </c>
      <c r="U116" t="inlineStr">
        <is>
          <t>1994-12-02</t>
        </is>
      </c>
      <c r="V116" t="inlineStr">
        <is>
          <t>1994-12-02</t>
        </is>
      </c>
      <c r="W116" t="inlineStr">
        <is>
          <t>1990-12-18</t>
        </is>
      </c>
      <c r="X116" t="inlineStr">
        <is>
          <t>1990-12-18</t>
        </is>
      </c>
      <c r="Y116" t="n">
        <v>335</v>
      </c>
      <c r="Z116" t="n">
        <v>271</v>
      </c>
      <c r="AA116" t="n">
        <v>276</v>
      </c>
      <c r="AB116" t="n">
        <v>3</v>
      </c>
      <c r="AC116" t="n">
        <v>3</v>
      </c>
      <c r="AD116" t="n">
        <v>11</v>
      </c>
      <c r="AE116" t="n">
        <v>11</v>
      </c>
      <c r="AF116" t="n">
        <v>2</v>
      </c>
      <c r="AG116" t="n">
        <v>2</v>
      </c>
      <c r="AH116" t="n">
        <v>2</v>
      </c>
      <c r="AI116" t="n">
        <v>2</v>
      </c>
      <c r="AJ116" t="n">
        <v>6</v>
      </c>
      <c r="AK116" t="n">
        <v>6</v>
      </c>
      <c r="AL116" t="n">
        <v>2</v>
      </c>
      <c r="AM116" t="n">
        <v>2</v>
      </c>
      <c r="AN116" t="n">
        <v>2</v>
      </c>
      <c r="AO116" t="n">
        <v>2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HYPERLINK("https://creighton-primo.hosted.exlibrisgroup.com/primo-explore/search?tab=default_tab&amp;search_scope=EVERYTHING&amp;vid=01CRU&amp;lang=en_US&amp;offset=0&amp;query=any,contains,991003013899702656","Catalog Record")</f>
        <v/>
      </c>
      <c r="AT116">
        <f>HYPERLINK("http://www.worldcat.org/oclc/579604","WorldCat Record")</f>
        <v/>
      </c>
      <c r="AU116" t="inlineStr">
        <is>
          <t>406771:eng</t>
        </is>
      </c>
      <c r="AV116" t="inlineStr">
        <is>
          <t>579604</t>
        </is>
      </c>
      <c r="AW116" t="inlineStr">
        <is>
          <t>991003013899702656</t>
        </is>
      </c>
      <c r="AX116" t="inlineStr">
        <is>
          <t>991003013899702656</t>
        </is>
      </c>
      <c r="AY116" t="inlineStr">
        <is>
          <t>2256169940002656</t>
        </is>
      </c>
      <c r="AZ116" t="inlineStr">
        <is>
          <t>BOOK</t>
        </is>
      </c>
      <c r="BB116" t="inlineStr">
        <is>
          <t>9780070701038</t>
        </is>
      </c>
      <c r="BC116" t="inlineStr">
        <is>
          <t>32285000425966</t>
        </is>
      </c>
      <c r="BD116" t="inlineStr">
        <is>
          <t>893233729</t>
        </is>
      </c>
    </row>
    <row r="117">
      <c r="A117" t="inlineStr">
        <is>
          <t>No</t>
        </is>
      </c>
      <c r="B117" t="inlineStr">
        <is>
          <t>BF1321 .H3</t>
        </is>
      </c>
      <c r="C117" t="inlineStr">
        <is>
          <t>0                      BF 1321000H  3</t>
        </is>
      </c>
      <c r="D117" t="inlineStr">
        <is>
          <t>ESP; a scientific evaluation / by C. E. M. Hansel. Introd. by Edwin G. Boring.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Hansel, C. E. M. (Charles Edward Mark), 1917-2011.</t>
        </is>
      </c>
      <c r="L117" t="inlineStr">
        <is>
          <t>New York : Scribner, 1966.</t>
        </is>
      </c>
      <c r="M117" t="inlineStr">
        <is>
          <t>1966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BF </t>
        </is>
      </c>
      <c r="S117" t="n">
        <v>16</v>
      </c>
      <c r="T117" t="n">
        <v>16</v>
      </c>
      <c r="U117" t="inlineStr">
        <is>
          <t>2009-03-17</t>
        </is>
      </c>
      <c r="V117" t="inlineStr">
        <is>
          <t>2009-03-17</t>
        </is>
      </c>
      <c r="W117" t="inlineStr">
        <is>
          <t>1990-02-12</t>
        </is>
      </c>
      <c r="X117" t="inlineStr">
        <is>
          <t>1990-02-12</t>
        </is>
      </c>
      <c r="Y117" t="n">
        <v>949</v>
      </c>
      <c r="Z117" t="n">
        <v>855</v>
      </c>
      <c r="AA117" t="n">
        <v>878</v>
      </c>
      <c r="AB117" t="n">
        <v>5</v>
      </c>
      <c r="AC117" t="n">
        <v>5</v>
      </c>
      <c r="AD117" t="n">
        <v>29</v>
      </c>
      <c r="AE117" t="n">
        <v>29</v>
      </c>
      <c r="AF117" t="n">
        <v>12</v>
      </c>
      <c r="AG117" t="n">
        <v>12</v>
      </c>
      <c r="AH117" t="n">
        <v>4</v>
      </c>
      <c r="AI117" t="n">
        <v>4</v>
      </c>
      <c r="AJ117" t="n">
        <v>17</v>
      </c>
      <c r="AK117" t="n">
        <v>17</v>
      </c>
      <c r="AL117" t="n">
        <v>4</v>
      </c>
      <c r="AM117" t="n">
        <v>4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HYPERLINK("http://catalog.hathitrust.org/Record/000474822","HathiTrust Record")</f>
        <v/>
      </c>
      <c r="AS117">
        <f>HYPERLINK("https://creighton-primo.hosted.exlibrisgroup.com/primo-explore/search?tab=default_tab&amp;search_scope=EVERYTHING&amp;vid=01CRU&amp;lang=en_US&amp;offset=0&amp;query=any,contains,991003182079702656","Catalog Record")</f>
        <v/>
      </c>
      <c r="AT117">
        <f>HYPERLINK("http://www.worldcat.org/oclc/711949","WorldCat Record")</f>
        <v/>
      </c>
      <c r="AU117" t="inlineStr">
        <is>
          <t>1661663:eng</t>
        </is>
      </c>
      <c r="AV117" t="inlineStr">
        <is>
          <t>711949</t>
        </is>
      </c>
      <c r="AW117" t="inlineStr">
        <is>
          <t>991003182079702656</t>
        </is>
      </c>
      <c r="AX117" t="inlineStr">
        <is>
          <t>991003182079702656</t>
        </is>
      </c>
      <c r="AY117" t="inlineStr">
        <is>
          <t>2261881240002656</t>
        </is>
      </c>
      <c r="AZ117" t="inlineStr">
        <is>
          <t>BOOK</t>
        </is>
      </c>
      <c r="BC117" t="inlineStr">
        <is>
          <t>32285000009802</t>
        </is>
      </c>
      <c r="BD117" t="inlineStr">
        <is>
          <t>893336221</t>
        </is>
      </c>
    </row>
    <row r="118">
      <c r="A118" t="inlineStr">
        <is>
          <t>No</t>
        </is>
      </c>
      <c r="B118" t="inlineStr">
        <is>
          <t>BF1321 .H33</t>
        </is>
      </c>
      <c r="C118" t="inlineStr">
        <is>
          <t>0                      BF 1321000H  33</t>
        </is>
      </c>
      <c r="D118" t="inlineStr">
        <is>
          <t>ESP and parapsychology : a critical reevaluation / C. E. M. Hansel.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Hansel, C. E. M. (Charles Edward Mark), 1917-2011.</t>
        </is>
      </c>
      <c r="L118" t="inlineStr">
        <is>
          <t>Buffalo, N.Y. : Prometheus Books, c1980.</t>
        </is>
      </c>
      <c r="M118" t="inlineStr">
        <is>
          <t>1980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BF </t>
        </is>
      </c>
      <c r="S118" t="n">
        <v>19</v>
      </c>
      <c r="T118" t="n">
        <v>19</v>
      </c>
      <c r="U118" t="inlineStr">
        <is>
          <t>2006-12-03</t>
        </is>
      </c>
      <c r="V118" t="inlineStr">
        <is>
          <t>2006-12-03</t>
        </is>
      </c>
      <c r="W118" t="inlineStr">
        <is>
          <t>1991-12-13</t>
        </is>
      </c>
      <c r="X118" t="inlineStr">
        <is>
          <t>1991-12-13</t>
        </is>
      </c>
      <c r="Y118" t="n">
        <v>947</v>
      </c>
      <c r="Z118" t="n">
        <v>864</v>
      </c>
      <c r="AA118" t="n">
        <v>869</v>
      </c>
      <c r="AB118" t="n">
        <v>5</v>
      </c>
      <c r="AC118" t="n">
        <v>5</v>
      </c>
      <c r="AD118" t="n">
        <v>28</v>
      </c>
      <c r="AE118" t="n">
        <v>28</v>
      </c>
      <c r="AF118" t="n">
        <v>17</v>
      </c>
      <c r="AG118" t="n">
        <v>17</v>
      </c>
      <c r="AH118" t="n">
        <v>4</v>
      </c>
      <c r="AI118" t="n">
        <v>4</v>
      </c>
      <c r="AJ118" t="n">
        <v>10</v>
      </c>
      <c r="AK118" t="n">
        <v>10</v>
      </c>
      <c r="AL118" t="n">
        <v>3</v>
      </c>
      <c r="AM118" t="n">
        <v>3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HYPERLINK("http://catalog.hathitrust.org/Record/000728395","HathiTrust Record")</f>
        <v/>
      </c>
      <c r="AS118">
        <f>HYPERLINK("https://creighton-primo.hosted.exlibrisgroup.com/primo-explore/search?tab=default_tab&amp;search_scope=EVERYTHING&amp;vid=01CRU&amp;lang=en_US&amp;offset=0&amp;query=any,contains,991004899089702656","Catalog Record")</f>
        <v/>
      </c>
      <c r="AT118">
        <f>HYPERLINK("http://www.worldcat.org/oclc/5914504","WorldCat Record")</f>
        <v/>
      </c>
      <c r="AU118" t="inlineStr">
        <is>
          <t>917593673:eng</t>
        </is>
      </c>
      <c r="AV118" t="inlineStr">
        <is>
          <t>5914504</t>
        </is>
      </c>
      <c r="AW118" t="inlineStr">
        <is>
          <t>991004899089702656</t>
        </is>
      </c>
      <c r="AX118" t="inlineStr">
        <is>
          <t>991004899089702656</t>
        </is>
      </c>
      <c r="AY118" t="inlineStr">
        <is>
          <t>2259104080002656</t>
        </is>
      </c>
      <c r="AZ118" t="inlineStr">
        <is>
          <t>BOOK</t>
        </is>
      </c>
      <c r="BB118" t="inlineStr">
        <is>
          <t>9780879751203</t>
        </is>
      </c>
      <c r="BC118" t="inlineStr">
        <is>
          <t>32285000895440</t>
        </is>
      </c>
      <c r="BD118" t="inlineStr">
        <is>
          <t>893895610</t>
        </is>
      </c>
    </row>
    <row r="119">
      <c r="A119" t="inlineStr">
        <is>
          <t>No</t>
        </is>
      </c>
      <c r="B119" t="inlineStr">
        <is>
          <t>BF1321 .M25 1968</t>
        </is>
      </c>
      <c r="C119" t="inlineStr">
        <is>
          <t>0                      BF 1321000M  25          1968</t>
        </is>
      </c>
      <c r="D119" t="inlineStr">
        <is>
          <t>Science, philosophy, and ESP / with a foreword by H. H. Price.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McCreery, Charles.</t>
        </is>
      </c>
      <c r="L119" t="inlineStr">
        <is>
          <t>Hamden, Conn. : Archon Books, [1968, c1967]</t>
        </is>
      </c>
      <c r="M119" t="inlineStr">
        <is>
          <t>1968</t>
        </is>
      </c>
      <c r="N119" t="inlineStr">
        <is>
          <t>[1st ed. in the United States]</t>
        </is>
      </c>
      <c r="O119" t="inlineStr">
        <is>
          <t>eng</t>
        </is>
      </c>
      <c r="P119" t="inlineStr">
        <is>
          <t>ctu</t>
        </is>
      </c>
      <c r="R119" t="inlineStr">
        <is>
          <t xml:space="preserve">BF </t>
        </is>
      </c>
      <c r="S119" t="n">
        <v>3</v>
      </c>
      <c r="T119" t="n">
        <v>3</v>
      </c>
      <c r="U119" t="inlineStr">
        <is>
          <t>1997-11-03</t>
        </is>
      </c>
      <c r="V119" t="inlineStr">
        <is>
          <t>1997-11-03</t>
        </is>
      </c>
      <c r="W119" t="inlineStr">
        <is>
          <t>1991-12-17</t>
        </is>
      </c>
      <c r="X119" t="inlineStr">
        <is>
          <t>1991-12-17</t>
        </is>
      </c>
      <c r="Y119" t="n">
        <v>181</v>
      </c>
      <c r="Z119" t="n">
        <v>172</v>
      </c>
      <c r="AA119" t="n">
        <v>268</v>
      </c>
      <c r="AB119" t="n">
        <v>5</v>
      </c>
      <c r="AC119" t="n">
        <v>5</v>
      </c>
      <c r="AD119" t="n">
        <v>7</v>
      </c>
      <c r="AE119" t="n">
        <v>12</v>
      </c>
      <c r="AF119" t="n">
        <v>1</v>
      </c>
      <c r="AG119" t="n">
        <v>1</v>
      </c>
      <c r="AH119" t="n">
        <v>2</v>
      </c>
      <c r="AI119" t="n">
        <v>3</v>
      </c>
      <c r="AJ119" t="n">
        <v>1</v>
      </c>
      <c r="AK119" t="n">
        <v>6</v>
      </c>
      <c r="AL119" t="n">
        <v>4</v>
      </c>
      <c r="AM119" t="n">
        <v>4</v>
      </c>
      <c r="AN119" t="n">
        <v>0</v>
      </c>
      <c r="AO119" t="n">
        <v>0</v>
      </c>
      <c r="AP119" t="inlineStr">
        <is>
          <t>No</t>
        </is>
      </c>
      <c r="AQ119" t="inlineStr">
        <is>
          <t>No</t>
        </is>
      </c>
      <c r="AS119">
        <f>HYPERLINK("https://creighton-primo.hosted.exlibrisgroup.com/primo-explore/search?tab=default_tab&amp;search_scope=EVERYTHING&amp;vid=01CRU&amp;lang=en_US&amp;offset=0&amp;query=any,contains,991002763319702656","Catalog Record")</f>
        <v/>
      </c>
      <c r="AT119">
        <f>HYPERLINK("http://www.worldcat.org/oclc/430589","WorldCat Record")</f>
        <v/>
      </c>
      <c r="AU119" t="inlineStr">
        <is>
          <t>1533922:eng</t>
        </is>
      </c>
      <c r="AV119" t="inlineStr">
        <is>
          <t>430589</t>
        </is>
      </c>
      <c r="AW119" t="inlineStr">
        <is>
          <t>991002763319702656</t>
        </is>
      </c>
      <c r="AX119" t="inlineStr">
        <is>
          <t>991002763319702656</t>
        </is>
      </c>
      <c r="AY119" t="inlineStr">
        <is>
          <t>2269809420002656</t>
        </is>
      </c>
      <c r="AZ119" t="inlineStr">
        <is>
          <t>BOOK</t>
        </is>
      </c>
      <c r="BC119" t="inlineStr">
        <is>
          <t>32285000879840</t>
        </is>
      </c>
      <c r="BD119" t="inlineStr">
        <is>
          <t>893780189</t>
        </is>
      </c>
    </row>
    <row r="120">
      <c r="A120" t="inlineStr">
        <is>
          <t>No</t>
        </is>
      </c>
      <c r="B120" t="inlineStr">
        <is>
          <t>BF1321 .S3</t>
        </is>
      </c>
      <c r="C120" t="inlineStr">
        <is>
          <t>0                      BF 1321000S  3</t>
        </is>
      </c>
      <c r="D120" t="inlineStr">
        <is>
          <t>Extra-sensory perception / edited by Gertrude Schmeidler.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Yes</t>
        </is>
      </c>
      <c r="J120" t="inlineStr">
        <is>
          <t>0</t>
        </is>
      </c>
      <c r="K120" t="inlineStr">
        <is>
          <t>Schmeidler, Gertrude Raffel compiler.</t>
        </is>
      </c>
      <c r="L120" t="inlineStr">
        <is>
          <t>New York : Atherton Press, 1969.</t>
        </is>
      </c>
      <c r="M120" t="inlineStr">
        <is>
          <t>1969</t>
        </is>
      </c>
      <c r="N120" t="inlineStr">
        <is>
          <t>[1st ed.]</t>
        </is>
      </c>
      <c r="O120" t="inlineStr">
        <is>
          <t>eng</t>
        </is>
      </c>
      <c r="P120" t="inlineStr">
        <is>
          <t>nyu</t>
        </is>
      </c>
      <c r="R120" t="inlineStr">
        <is>
          <t xml:space="preserve">BF </t>
        </is>
      </c>
      <c r="S120" t="n">
        <v>6</v>
      </c>
      <c r="T120" t="n">
        <v>6</v>
      </c>
      <c r="U120" t="inlineStr">
        <is>
          <t>1995-10-26</t>
        </is>
      </c>
      <c r="V120" t="inlineStr">
        <is>
          <t>1995-10-26</t>
        </is>
      </c>
      <c r="W120" t="inlineStr">
        <is>
          <t>1991-12-11</t>
        </is>
      </c>
      <c r="X120" t="inlineStr">
        <is>
          <t>1991-12-11</t>
        </is>
      </c>
      <c r="Y120" t="n">
        <v>610</v>
      </c>
      <c r="Z120" t="n">
        <v>548</v>
      </c>
      <c r="AA120" t="n">
        <v>615</v>
      </c>
      <c r="AB120" t="n">
        <v>7</v>
      </c>
      <c r="AC120" t="n">
        <v>7</v>
      </c>
      <c r="AD120" t="n">
        <v>22</v>
      </c>
      <c r="AE120" t="n">
        <v>24</v>
      </c>
      <c r="AF120" t="n">
        <v>8</v>
      </c>
      <c r="AG120" t="n">
        <v>10</v>
      </c>
      <c r="AH120" t="n">
        <v>2</v>
      </c>
      <c r="AI120" t="n">
        <v>2</v>
      </c>
      <c r="AJ120" t="n">
        <v>12</v>
      </c>
      <c r="AK120" t="n">
        <v>12</v>
      </c>
      <c r="AL120" t="n">
        <v>6</v>
      </c>
      <c r="AM120" t="n">
        <v>6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HYPERLINK("http://catalog.hathitrust.org/Record/000474875","HathiTrust Record")</f>
        <v/>
      </c>
      <c r="AS120">
        <f>HYPERLINK("https://creighton-primo.hosted.exlibrisgroup.com/primo-explore/search?tab=default_tab&amp;search_scope=EVERYTHING&amp;vid=01CRU&amp;lang=en_US&amp;offset=0&amp;query=any,contains,991000002369702656","Catalog Record")</f>
        <v/>
      </c>
      <c r="AT120">
        <f>HYPERLINK("http://www.worldcat.org/oclc/11039","WorldCat Record")</f>
        <v/>
      </c>
      <c r="AU120" t="inlineStr">
        <is>
          <t>1134107:eng</t>
        </is>
      </c>
      <c r="AV120" t="inlineStr">
        <is>
          <t>11039</t>
        </is>
      </c>
      <c r="AW120" t="inlineStr">
        <is>
          <t>991000002369702656</t>
        </is>
      </c>
      <c r="AX120" t="inlineStr">
        <is>
          <t>991000002369702656</t>
        </is>
      </c>
      <c r="AY120" t="inlineStr">
        <is>
          <t>2267676280002656</t>
        </is>
      </c>
      <c r="AZ120" t="inlineStr">
        <is>
          <t>BOOK</t>
        </is>
      </c>
      <c r="BC120" t="inlineStr">
        <is>
          <t>32285000876002</t>
        </is>
      </c>
      <c r="BD120" t="inlineStr">
        <is>
          <t>893695487</t>
        </is>
      </c>
    </row>
    <row r="121">
      <c r="A121" t="inlineStr">
        <is>
          <t>No</t>
        </is>
      </c>
      <c r="B121" t="inlineStr">
        <is>
          <t>BF1321 .S64</t>
        </is>
      </c>
      <c r="C121" t="inlineStr">
        <is>
          <t>0                      BF 1321000S  64</t>
        </is>
      </c>
      <c r="D121" t="inlineStr">
        <is>
          <t>Science and E.S.P. / edited by J. R. Smythies.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Smythies, John R. (John Raymond), 1922- compiler.</t>
        </is>
      </c>
      <c r="L121" t="inlineStr">
        <is>
          <t>London : Routledge &amp; K. Paul ; New York : Humanities P., [1967]</t>
        </is>
      </c>
      <c r="M121" t="inlineStr">
        <is>
          <t>1967</t>
        </is>
      </c>
      <c r="O121" t="inlineStr">
        <is>
          <t>eng</t>
        </is>
      </c>
      <c r="P121" t="inlineStr">
        <is>
          <t>enk</t>
        </is>
      </c>
      <c r="Q121" t="inlineStr">
        <is>
          <t>International library of philosophy and scientific method</t>
        </is>
      </c>
      <c r="R121" t="inlineStr">
        <is>
          <t xml:space="preserve">BF </t>
        </is>
      </c>
      <c r="S121" t="n">
        <v>13</v>
      </c>
      <c r="T121" t="n">
        <v>13</v>
      </c>
      <c r="U121" t="inlineStr">
        <is>
          <t>2006-12-03</t>
        </is>
      </c>
      <c r="V121" t="inlineStr">
        <is>
          <t>2006-12-03</t>
        </is>
      </c>
      <c r="W121" t="inlineStr">
        <is>
          <t>1991-12-17</t>
        </is>
      </c>
      <c r="X121" t="inlineStr">
        <is>
          <t>1991-12-17</t>
        </is>
      </c>
      <c r="Y121" t="n">
        <v>312</v>
      </c>
      <c r="Z121" t="n">
        <v>247</v>
      </c>
      <c r="AA121" t="n">
        <v>368</v>
      </c>
      <c r="AB121" t="n">
        <v>2</v>
      </c>
      <c r="AC121" t="n">
        <v>3</v>
      </c>
      <c r="AD121" t="n">
        <v>11</v>
      </c>
      <c r="AE121" t="n">
        <v>16</v>
      </c>
      <c r="AF121" t="n">
        <v>3</v>
      </c>
      <c r="AG121" t="n">
        <v>4</v>
      </c>
      <c r="AH121" t="n">
        <v>2</v>
      </c>
      <c r="AI121" t="n">
        <v>3</v>
      </c>
      <c r="AJ121" t="n">
        <v>7</v>
      </c>
      <c r="AK121" t="n">
        <v>9</v>
      </c>
      <c r="AL121" t="n">
        <v>1</v>
      </c>
      <c r="AM121" t="n">
        <v>2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HYPERLINK("https://creighton-primo.hosted.exlibrisgroup.com/primo-explore/search?tab=default_tab&amp;search_scope=EVERYTHING&amp;vid=01CRU&amp;lang=en_US&amp;offset=0&amp;query=any,contains,991002893709702656","Catalog Record")</f>
        <v/>
      </c>
      <c r="AT121">
        <f>HYPERLINK("http://www.worldcat.org/oclc/512808","WorldCat Record")</f>
        <v/>
      </c>
      <c r="AU121" t="inlineStr">
        <is>
          <t>138095233:eng</t>
        </is>
      </c>
      <c r="AV121" t="inlineStr">
        <is>
          <t>512808</t>
        </is>
      </c>
      <c r="AW121" t="inlineStr">
        <is>
          <t>991002893709702656</t>
        </is>
      </c>
      <c r="AX121" t="inlineStr">
        <is>
          <t>991002893709702656</t>
        </is>
      </c>
      <c r="AY121" t="inlineStr">
        <is>
          <t>2263272440002656</t>
        </is>
      </c>
      <c r="AZ121" t="inlineStr">
        <is>
          <t>BOOK</t>
        </is>
      </c>
      <c r="BC121" t="inlineStr">
        <is>
          <t>32285000879832</t>
        </is>
      </c>
      <c r="BD121" t="inlineStr">
        <is>
          <t>893348061</t>
        </is>
      </c>
    </row>
    <row r="122">
      <c r="A122" t="inlineStr">
        <is>
          <t>No</t>
        </is>
      </c>
      <c r="B122" t="inlineStr">
        <is>
          <t>BF1321 .T38</t>
        </is>
      </c>
      <c r="C122" t="inlineStr">
        <is>
          <t>0                      BF 1321000T  38</t>
        </is>
      </c>
      <c r="D122" t="inlineStr">
        <is>
          <t>Learning to use extrasensory perception / Charles T. Tart.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Tart, Charles T., 1937-</t>
        </is>
      </c>
      <c r="L122" t="inlineStr">
        <is>
          <t>Chicago : University of Chicago Press, 1976.</t>
        </is>
      </c>
      <c r="M122" t="inlineStr">
        <is>
          <t>1976</t>
        </is>
      </c>
      <c r="O122" t="inlineStr">
        <is>
          <t>eng</t>
        </is>
      </c>
      <c r="P122" t="inlineStr">
        <is>
          <t>ilu</t>
        </is>
      </c>
      <c r="R122" t="inlineStr">
        <is>
          <t xml:space="preserve">BF </t>
        </is>
      </c>
      <c r="S122" t="n">
        <v>11</v>
      </c>
      <c r="T122" t="n">
        <v>11</v>
      </c>
      <c r="U122" t="inlineStr">
        <is>
          <t>1997-04-10</t>
        </is>
      </c>
      <c r="V122" t="inlineStr">
        <is>
          <t>1997-04-10</t>
        </is>
      </c>
      <c r="W122" t="inlineStr">
        <is>
          <t>1992-02-25</t>
        </is>
      </c>
      <c r="X122" t="inlineStr">
        <is>
          <t>1992-02-25</t>
        </is>
      </c>
      <c r="Y122" t="n">
        <v>416</v>
      </c>
      <c r="Z122" t="n">
        <v>363</v>
      </c>
      <c r="AA122" t="n">
        <v>376</v>
      </c>
      <c r="AB122" t="n">
        <v>4</v>
      </c>
      <c r="AC122" t="n">
        <v>4</v>
      </c>
      <c r="AD122" t="n">
        <v>14</v>
      </c>
      <c r="AE122" t="n">
        <v>14</v>
      </c>
      <c r="AF122" t="n">
        <v>4</v>
      </c>
      <c r="AG122" t="n">
        <v>4</v>
      </c>
      <c r="AH122" t="n">
        <v>4</v>
      </c>
      <c r="AI122" t="n">
        <v>4</v>
      </c>
      <c r="AJ122" t="n">
        <v>5</v>
      </c>
      <c r="AK122" t="n">
        <v>5</v>
      </c>
      <c r="AL122" t="n">
        <v>3</v>
      </c>
      <c r="AM122" t="n">
        <v>3</v>
      </c>
      <c r="AN122" t="n">
        <v>0</v>
      </c>
      <c r="AO122" t="n">
        <v>0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HYPERLINK("https://creighton-primo.hosted.exlibrisgroup.com/primo-explore/search?tab=default_tab&amp;search_scope=EVERYTHING&amp;vid=01CRU&amp;lang=en_US&amp;offset=0&amp;query=any,contains,991004010529702656","Catalog Record")</f>
        <v/>
      </c>
      <c r="AT122">
        <f>HYPERLINK("http://www.worldcat.org/oclc/2090908","WorldCat Record")</f>
        <v/>
      </c>
      <c r="AU122" t="inlineStr">
        <is>
          <t>419388:eng</t>
        </is>
      </c>
      <c r="AV122" t="inlineStr">
        <is>
          <t>2090908</t>
        </is>
      </c>
      <c r="AW122" t="inlineStr">
        <is>
          <t>991004010529702656</t>
        </is>
      </c>
      <c r="AX122" t="inlineStr">
        <is>
          <t>991004010529702656</t>
        </is>
      </c>
      <c r="AY122" t="inlineStr">
        <is>
          <t>2267046950002656</t>
        </is>
      </c>
      <c r="AZ122" t="inlineStr">
        <is>
          <t>BOOK</t>
        </is>
      </c>
      <c r="BB122" t="inlineStr">
        <is>
          <t>9780226789910</t>
        </is>
      </c>
      <c r="BC122" t="inlineStr">
        <is>
          <t>32285000976281</t>
        </is>
      </c>
      <c r="BD122" t="inlineStr">
        <is>
          <t>893869175</t>
        </is>
      </c>
    </row>
    <row r="123">
      <c r="A123" t="inlineStr">
        <is>
          <t>No</t>
        </is>
      </c>
      <c r="B123" t="inlineStr">
        <is>
          <t>BF1325 .E37</t>
        </is>
      </c>
      <c r="C123" t="inlineStr">
        <is>
          <t>0                      BF 1325000E  37</t>
        </is>
      </c>
      <c r="D123" t="inlineStr">
        <is>
          <t>Paranormal foreknowledge : problems and perplexities / Jule Eisenbud.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Eisenbud, Jule.</t>
        </is>
      </c>
      <c r="L123" t="inlineStr">
        <is>
          <t>New York, N.Y. : Human Sciences Press, c1982.</t>
        </is>
      </c>
      <c r="M123" t="inlineStr">
        <is>
          <t>1982</t>
        </is>
      </c>
      <c r="O123" t="inlineStr">
        <is>
          <t>eng</t>
        </is>
      </c>
      <c r="P123" t="inlineStr">
        <is>
          <t>nyu</t>
        </is>
      </c>
      <c r="R123" t="inlineStr">
        <is>
          <t xml:space="preserve">BF </t>
        </is>
      </c>
      <c r="S123" t="n">
        <v>3</v>
      </c>
      <c r="T123" t="n">
        <v>3</v>
      </c>
      <c r="U123" t="inlineStr">
        <is>
          <t>1994-10-12</t>
        </is>
      </c>
      <c r="V123" t="inlineStr">
        <is>
          <t>1994-10-12</t>
        </is>
      </c>
      <c r="W123" t="inlineStr">
        <is>
          <t>1993-03-09</t>
        </is>
      </c>
      <c r="X123" t="inlineStr">
        <is>
          <t>1993-03-09</t>
        </is>
      </c>
      <c r="Y123" t="n">
        <v>288</v>
      </c>
      <c r="Z123" t="n">
        <v>255</v>
      </c>
      <c r="AA123" t="n">
        <v>262</v>
      </c>
      <c r="AB123" t="n">
        <v>3</v>
      </c>
      <c r="AC123" t="n">
        <v>3</v>
      </c>
      <c r="AD123" t="n">
        <v>7</v>
      </c>
      <c r="AE123" t="n">
        <v>7</v>
      </c>
      <c r="AF123" t="n">
        <v>3</v>
      </c>
      <c r="AG123" t="n">
        <v>3</v>
      </c>
      <c r="AH123" t="n">
        <v>0</v>
      </c>
      <c r="AI123" t="n">
        <v>0</v>
      </c>
      <c r="AJ123" t="n">
        <v>3</v>
      </c>
      <c r="AK123" t="n">
        <v>3</v>
      </c>
      <c r="AL123" t="n">
        <v>2</v>
      </c>
      <c r="AM123" t="n">
        <v>2</v>
      </c>
      <c r="AN123" t="n">
        <v>0</v>
      </c>
      <c r="AO123" t="n">
        <v>0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HYPERLINK("http://catalog.hathitrust.org/Record/000221550","HathiTrust Record")</f>
        <v/>
      </c>
      <c r="AS123">
        <f>HYPERLINK("https://creighton-primo.hosted.exlibrisgroup.com/primo-explore/search?tab=default_tab&amp;search_scope=EVERYTHING&amp;vid=01CRU&amp;lang=en_US&amp;offset=0&amp;query=any,contains,991005116209702656","Catalog Record")</f>
        <v/>
      </c>
      <c r="AT123">
        <f>HYPERLINK("http://www.worldcat.org/oclc/7462653","WorldCat Record")</f>
        <v/>
      </c>
      <c r="AU123" t="inlineStr">
        <is>
          <t>197756979:eng</t>
        </is>
      </c>
      <c r="AV123" t="inlineStr">
        <is>
          <t>7462653</t>
        </is>
      </c>
      <c r="AW123" t="inlineStr">
        <is>
          <t>991005116209702656</t>
        </is>
      </c>
      <c r="AX123" t="inlineStr">
        <is>
          <t>991005116209702656</t>
        </is>
      </c>
      <c r="AY123" t="inlineStr">
        <is>
          <t>2262889420002656</t>
        </is>
      </c>
      <c r="AZ123" t="inlineStr">
        <is>
          <t>BOOK</t>
        </is>
      </c>
      <c r="BB123" t="inlineStr">
        <is>
          <t>9780898850499</t>
        </is>
      </c>
      <c r="BC123" t="inlineStr">
        <is>
          <t>32285001570836</t>
        </is>
      </c>
      <c r="BD123" t="inlineStr">
        <is>
          <t>893263614</t>
        </is>
      </c>
    </row>
    <row r="124">
      <c r="A124" t="inlineStr">
        <is>
          <t>No</t>
        </is>
      </c>
      <c r="B124" t="inlineStr">
        <is>
          <t>BF1352 .G56</t>
        </is>
      </c>
      <c r="C124" t="inlineStr">
        <is>
          <t>0                      BF 1352000G  56</t>
        </is>
      </c>
      <c r="D124" t="inlineStr">
        <is>
          <t>Trance, art, and creativity : a psychological analysis of the relationship between the individual ego and the numinous element in three modes--prototaxic, parataxic, and syntaxic / John Curtis Gowan.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Gowan, John Curtis.</t>
        </is>
      </c>
      <c r="L124" t="inlineStr">
        <is>
          <t>Buffalo : Creative Education Foundation, State University College, c1975.</t>
        </is>
      </c>
      <c r="M124" t="inlineStr">
        <is>
          <t>1975</t>
        </is>
      </c>
      <c r="O124" t="inlineStr">
        <is>
          <t>eng</t>
        </is>
      </c>
      <c r="P124" t="inlineStr">
        <is>
          <t>nyu</t>
        </is>
      </c>
      <c r="R124" t="inlineStr">
        <is>
          <t xml:space="preserve">BF </t>
        </is>
      </c>
      <c r="S124" t="n">
        <v>5</v>
      </c>
      <c r="T124" t="n">
        <v>5</v>
      </c>
      <c r="U124" t="inlineStr">
        <is>
          <t>2010-11-29</t>
        </is>
      </c>
      <c r="V124" t="inlineStr">
        <is>
          <t>2010-11-29</t>
        </is>
      </c>
      <c r="W124" t="inlineStr">
        <is>
          <t>1993-05-03</t>
        </is>
      </c>
      <c r="X124" t="inlineStr">
        <is>
          <t>1993-05-03</t>
        </is>
      </c>
      <c r="Y124" t="n">
        <v>375</v>
      </c>
      <c r="Z124" t="n">
        <v>325</v>
      </c>
      <c r="AA124" t="n">
        <v>336</v>
      </c>
      <c r="AB124" t="n">
        <v>2</v>
      </c>
      <c r="AC124" t="n">
        <v>2</v>
      </c>
      <c r="AD124" t="n">
        <v>13</v>
      </c>
      <c r="AE124" t="n">
        <v>13</v>
      </c>
      <c r="AF124" t="n">
        <v>4</v>
      </c>
      <c r="AG124" t="n">
        <v>4</v>
      </c>
      <c r="AH124" t="n">
        <v>3</v>
      </c>
      <c r="AI124" t="n">
        <v>3</v>
      </c>
      <c r="AJ124" t="n">
        <v>9</v>
      </c>
      <c r="AK124" t="n">
        <v>9</v>
      </c>
      <c r="AL124" t="n">
        <v>1</v>
      </c>
      <c r="AM124" t="n">
        <v>1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HYPERLINK("http://catalog.hathitrust.org/Record/000474892","HathiTrust Record")</f>
        <v/>
      </c>
      <c r="AS124">
        <f>HYPERLINK("https://creighton-primo.hosted.exlibrisgroup.com/primo-explore/search?tab=default_tab&amp;search_scope=EVERYTHING&amp;vid=01CRU&amp;lang=en_US&amp;offset=0&amp;query=any,contains,991004106259702656","Catalog Record")</f>
        <v/>
      </c>
      <c r="AT124">
        <f>HYPERLINK("http://www.worldcat.org/oclc/2385691","WorldCat Record")</f>
        <v/>
      </c>
      <c r="AU124" t="inlineStr">
        <is>
          <t>504103835:eng</t>
        </is>
      </c>
      <c r="AV124" t="inlineStr">
        <is>
          <t>2385691</t>
        </is>
      </c>
      <c r="AW124" t="inlineStr">
        <is>
          <t>991004106259702656</t>
        </is>
      </c>
      <c r="AX124" t="inlineStr">
        <is>
          <t>991004106259702656</t>
        </is>
      </c>
      <c r="AY124" t="inlineStr">
        <is>
          <t>2257030080002656</t>
        </is>
      </c>
      <c r="AZ124" t="inlineStr">
        <is>
          <t>BOOK</t>
        </is>
      </c>
      <c r="BC124" t="inlineStr">
        <is>
          <t>32285001632503</t>
        </is>
      </c>
      <c r="BD124" t="inlineStr">
        <is>
          <t>893531984</t>
        </is>
      </c>
    </row>
    <row r="125">
      <c r="A125" t="inlineStr">
        <is>
          <t>No</t>
        </is>
      </c>
      <c r="B125" t="inlineStr">
        <is>
          <t>BF1371 .R6</t>
        </is>
      </c>
      <c r="C125" t="inlineStr">
        <is>
          <t>0                      BF 1371000R  6</t>
        </is>
      </c>
      <c r="D125" t="inlineStr">
        <is>
          <t>To stretch a plank : a survey of psychokinesis / Diana Robinson.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Robinson, Diana.</t>
        </is>
      </c>
      <c r="L125" t="inlineStr">
        <is>
          <t>Chicago : Nelson-Hall, c1981.</t>
        </is>
      </c>
      <c r="M125" t="inlineStr">
        <is>
          <t>1981</t>
        </is>
      </c>
      <c r="O125" t="inlineStr">
        <is>
          <t>eng</t>
        </is>
      </c>
      <c r="P125" t="inlineStr">
        <is>
          <t>ilu</t>
        </is>
      </c>
      <c r="R125" t="inlineStr">
        <is>
          <t xml:space="preserve">BF </t>
        </is>
      </c>
      <c r="S125" t="n">
        <v>5</v>
      </c>
      <c r="T125" t="n">
        <v>5</v>
      </c>
      <c r="U125" t="inlineStr">
        <is>
          <t>1996-09-11</t>
        </is>
      </c>
      <c r="V125" t="inlineStr">
        <is>
          <t>1996-09-11</t>
        </is>
      </c>
      <c r="W125" t="inlineStr">
        <is>
          <t>1993-04-12</t>
        </is>
      </c>
      <c r="X125" t="inlineStr">
        <is>
          <t>1993-04-12</t>
        </is>
      </c>
      <c r="Y125" t="n">
        <v>363</v>
      </c>
      <c r="Z125" t="n">
        <v>337</v>
      </c>
      <c r="AA125" t="n">
        <v>339</v>
      </c>
      <c r="AB125" t="n">
        <v>3</v>
      </c>
      <c r="AC125" t="n">
        <v>3</v>
      </c>
      <c r="AD125" t="n">
        <v>9</v>
      </c>
      <c r="AE125" t="n">
        <v>9</v>
      </c>
      <c r="AF125" t="n">
        <v>2</v>
      </c>
      <c r="AG125" t="n">
        <v>2</v>
      </c>
      <c r="AH125" t="n">
        <v>1</v>
      </c>
      <c r="AI125" t="n">
        <v>1</v>
      </c>
      <c r="AJ125" t="n">
        <v>6</v>
      </c>
      <c r="AK125" t="n">
        <v>6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HYPERLINK("http://catalog.hathitrust.org/Record/000129146","HathiTrust Record")</f>
        <v/>
      </c>
      <c r="AS125">
        <f>HYPERLINK("https://creighton-primo.hosted.exlibrisgroup.com/primo-explore/search?tab=default_tab&amp;search_scope=EVERYTHING&amp;vid=01CRU&amp;lang=en_US&amp;offset=0&amp;query=any,contains,991004928169702656","Catalog Record")</f>
        <v/>
      </c>
      <c r="AT125">
        <f>HYPERLINK("http://www.worldcat.org/oclc/6087774","WorldCat Record")</f>
        <v/>
      </c>
      <c r="AU125" t="inlineStr">
        <is>
          <t>196518690:eng</t>
        </is>
      </c>
      <c r="AV125" t="inlineStr">
        <is>
          <t>6087774</t>
        </is>
      </c>
      <c r="AW125" t="inlineStr">
        <is>
          <t>991004928169702656</t>
        </is>
      </c>
      <c r="AX125" t="inlineStr">
        <is>
          <t>991004928169702656</t>
        </is>
      </c>
      <c r="AY125" t="inlineStr">
        <is>
          <t>2259634910002656</t>
        </is>
      </c>
      <c r="AZ125" t="inlineStr">
        <is>
          <t>BOOK</t>
        </is>
      </c>
      <c r="BB125" t="inlineStr">
        <is>
          <t>9780882294049</t>
        </is>
      </c>
      <c r="BC125" t="inlineStr">
        <is>
          <t>32285001616522</t>
        </is>
      </c>
      <c r="BD125" t="inlineStr">
        <is>
          <t>893700836</t>
        </is>
      </c>
    </row>
    <row r="126">
      <c r="A126" t="inlineStr">
        <is>
          <t>No</t>
        </is>
      </c>
      <c r="B126" t="inlineStr">
        <is>
          <t>BF1381 .G47 1978</t>
        </is>
      </c>
      <c r="C126" t="inlineStr">
        <is>
          <t>0                      BF 1381000G  47          1978</t>
        </is>
      </c>
      <c r="D126" t="inlineStr">
        <is>
          <t>Ghosts in photographs : the extraordinary story of spirit photography / by Fred Gettings.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Gettings, Fred.</t>
        </is>
      </c>
      <c r="L126" t="inlineStr">
        <is>
          <t>New York : Harmony Book, c1978.</t>
        </is>
      </c>
      <c r="M126" t="inlineStr">
        <is>
          <t>1978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BF </t>
        </is>
      </c>
      <c r="S126" t="n">
        <v>18</v>
      </c>
      <c r="T126" t="n">
        <v>18</v>
      </c>
      <c r="U126" t="inlineStr">
        <is>
          <t>2007-03-14</t>
        </is>
      </c>
      <c r="V126" t="inlineStr">
        <is>
          <t>2007-03-14</t>
        </is>
      </c>
      <c r="W126" t="inlineStr">
        <is>
          <t>1990-04-20</t>
        </is>
      </c>
      <c r="X126" t="inlineStr">
        <is>
          <t>1990-04-20</t>
        </is>
      </c>
      <c r="Y126" t="n">
        <v>209</v>
      </c>
      <c r="Z126" t="n">
        <v>192</v>
      </c>
      <c r="AA126" t="n">
        <v>199</v>
      </c>
      <c r="AB126" t="n">
        <v>2</v>
      </c>
      <c r="AC126" t="n">
        <v>2</v>
      </c>
      <c r="AD126" t="n">
        <v>4</v>
      </c>
      <c r="AE126" t="n">
        <v>4</v>
      </c>
      <c r="AF126" t="n">
        <v>2</v>
      </c>
      <c r="AG126" t="n">
        <v>2</v>
      </c>
      <c r="AH126" t="n">
        <v>0</v>
      </c>
      <c r="AI126" t="n">
        <v>0</v>
      </c>
      <c r="AJ126" t="n">
        <v>3</v>
      </c>
      <c r="AK126" t="n">
        <v>3</v>
      </c>
      <c r="AL126" t="n">
        <v>0</v>
      </c>
      <c r="AM126" t="n">
        <v>0</v>
      </c>
      <c r="AN126" t="n">
        <v>0</v>
      </c>
      <c r="AO126" t="n">
        <v>0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HYPERLINK("https://creighton-primo.hosted.exlibrisgroup.com/primo-explore/search?tab=default_tab&amp;search_scope=EVERYTHING&amp;vid=01CRU&amp;lang=en_US&amp;offset=0&amp;query=any,contains,991004488619702656","Catalog Record")</f>
        <v/>
      </c>
      <c r="AT126">
        <f>HYPERLINK("http://www.worldcat.org/oclc/3650310","WorldCat Record")</f>
        <v/>
      </c>
      <c r="AU126" t="inlineStr">
        <is>
          <t>499349:eng</t>
        </is>
      </c>
      <c r="AV126" t="inlineStr">
        <is>
          <t>3650310</t>
        </is>
      </c>
      <c r="AW126" t="inlineStr">
        <is>
          <t>991004488619702656</t>
        </is>
      </c>
      <c r="AX126" t="inlineStr">
        <is>
          <t>991004488619702656</t>
        </is>
      </c>
      <c r="AY126" t="inlineStr">
        <is>
          <t>2260959890002656</t>
        </is>
      </c>
      <c r="AZ126" t="inlineStr">
        <is>
          <t>BOOK</t>
        </is>
      </c>
      <c r="BB126" t="inlineStr">
        <is>
          <t>9780517529300</t>
        </is>
      </c>
      <c r="BC126" t="inlineStr">
        <is>
          <t>32285000124940</t>
        </is>
      </c>
      <c r="BD126" t="inlineStr">
        <is>
          <t>893411608</t>
        </is>
      </c>
    </row>
    <row r="127">
      <c r="A127" t="inlineStr">
        <is>
          <t>No</t>
        </is>
      </c>
      <c r="B127" t="inlineStr">
        <is>
          <t>BF139 .P7813</t>
        </is>
      </c>
      <c r="C127" t="inlineStr">
        <is>
          <t>0                      BF 0139000P  7813</t>
        </is>
      </c>
      <c r="D127" t="inlineStr">
        <is>
          <t>Psychology; a brief introduction [by] Michael Wertheimer [and others]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L127" t="inlineStr">
        <is>
          <t>Glenview, Ill., Scott, Foresman [1971]</t>
        </is>
      </c>
      <c r="M127" t="inlineStr">
        <is>
          <t>1971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BF </t>
        </is>
      </c>
      <c r="S127" t="n">
        <v>4</v>
      </c>
      <c r="T127" t="n">
        <v>4</v>
      </c>
      <c r="U127" t="inlineStr">
        <is>
          <t>2007-03-12</t>
        </is>
      </c>
      <c r="V127" t="inlineStr">
        <is>
          <t>2007-03-12</t>
        </is>
      </c>
      <c r="W127" t="inlineStr">
        <is>
          <t>1996-07-24</t>
        </is>
      </c>
      <c r="X127" t="inlineStr">
        <is>
          <t>1996-07-24</t>
        </is>
      </c>
      <c r="Y127" t="n">
        <v>151</v>
      </c>
      <c r="Z127" t="n">
        <v>117</v>
      </c>
      <c r="AA127" t="n">
        <v>117</v>
      </c>
      <c r="AB127" t="n">
        <v>3</v>
      </c>
      <c r="AC127" t="n">
        <v>3</v>
      </c>
      <c r="AD127" t="n">
        <v>5</v>
      </c>
      <c r="AE127" t="n">
        <v>5</v>
      </c>
      <c r="AF127" t="n">
        <v>2</v>
      </c>
      <c r="AG127" t="n">
        <v>2</v>
      </c>
      <c r="AH127" t="n">
        <v>1</v>
      </c>
      <c r="AI127" t="n">
        <v>1</v>
      </c>
      <c r="AJ127" t="n">
        <v>2</v>
      </c>
      <c r="AK127" t="n">
        <v>2</v>
      </c>
      <c r="AL127" t="n">
        <v>0</v>
      </c>
      <c r="AM127" t="n">
        <v>0</v>
      </c>
      <c r="AN127" t="n">
        <v>0</v>
      </c>
      <c r="AO127" t="n">
        <v>0</v>
      </c>
      <c r="AP127" t="inlineStr">
        <is>
          <t>No</t>
        </is>
      </c>
      <c r="AQ127" t="inlineStr">
        <is>
          <t>No</t>
        </is>
      </c>
      <c r="AS127">
        <f>HYPERLINK("https://creighton-primo.hosted.exlibrisgroup.com/primo-explore/search?tab=default_tab&amp;search_scope=EVERYTHING&amp;vid=01CRU&amp;lang=en_US&amp;offset=0&amp;query=any,contains,991000813539702656","Catalog Record")</f>
        <v/>
      </c>
      <c r="AT127">
        <f>HYPERLINK("http://www.worldcat.org/oclc/141493","WorldCat Record")</f>
        <v/>
      </c>
      <c r="AU127" t="inlineStr">
        <is>
          <t>889425930:eng</t>
        </is>
      </c>
      <c r="AV127" t="inlineStr">
        <is>
          <t>141493</t>
        </is>
      </c>
      <c r="AW127" t="inlineStr">
        <is>
          <t>991000813539702656</t>
        </is>
      </c>
      <c r="AX127" t="inlineStr">
        <is>
          <t>991000813539702656</t>
        </is>
      </c>
      <c r="AY127" t="inlineStr">
        <is>
          <t>2256028470002656</t>
        </is>
      </c>
      <c r="AZ127" t="inlineStr">
        <is>
          <t>BOOK</t>
        </is>
      </c>
      <c r="BC127" t="inlineStr">
        <is>
          <t>32285002235017</t>
        </is>
      </c>
      <c r="BD127" t="inlineStr">
        <is>
          <t>893714919</t>
        </is>
      </c>
    </row>
    <row r="128">
      <c r="A128" t="inlineStr">
        <is>
          <t>No</t>
        </is>
      </c>
      <c r="B128" t="inlineStr">
        <is>
          <t>BF1411 .C3 1967a</t>
        </is>
      </c>
      <c r="C128" t="inlineStr">
        <is>
          <t>0                      BF 1411000C  3           1967a</t>
        </is>
      </c>
      <c r="D128" t="inlineStr">
        <is>
          <t>The black arts / by Richard Cavendish.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Cavendish, Richard.</t>
        </is>
      </c>
      <c r="L128" t="inlineStr">
        <is>
          <t>New York : Putnam, [1967]</t>
        </is>
      </c>
      <c r="M128" t="inlineStr">
        <is>
          <t>1967</t>
        </is>
      </c>
      <c r="N128" t="inlineStr">
        <is>
          <t>[1st American ed.]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BF </t>
        </is>
      </c>
      <c r="S128" t="n">
        <v>9</v>
      </c>
      <c r="T128" t="n">
        <v>9</v>
      </c>
      <c r="U128" t="inlineStr">
        <is>
          <t>2007-12-06</t>
        </is>
      </c>
      <c r="V128" t="inlineStr">
        <is>
          <t>2007-12-06</t>
        </is>
      </c>
      <c r="W128" t="inlineStr">
        <is>
          <t>1995-03-07</t>
        </is>
      </c>
      <c r="X128" t="inlineStr">
        <is>
          <t>1995-03-07</t>
        </is>
      </c>
      <c r="Y128" t="n">
        <v>318</v>
      </c>
      <c r="Z128" t="n">
        <v>308</v>
      </c>
      <c r="AA128" t="n">
        <v>552</v>
      </c>
      <c r="AB128" t="n">
        <v>1</v>
      </c>
      <c r="AC128" t="n">
        <v>3</v>
      </c>
      <c r="AD128" t="n">
        <v>6</v>
      </c>
      <c r="AE128" t="n">
        <v>14</v>
      </c>
      <c r="AF128" t="n">
        <v>4</v>
      </c>
      <c r="AG128" t="n">
        <v>6</v>
      </c>
      <c r="AH128" t="n">
        <v>0</v>
      </c>
      <c r="AI128" t="n">
        <v>0</v>
      </c>
      <c r="AJ128" t="n">
        <v>6</v>
      </c>
      <c r="AK128" t="n">
        <v>11</v>
      </c>
      <c r="AL128" t="n">
        <v>0</v>
      </c>
      <c r="AM128" t="n">
        <v>1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HYPERLINK("https://creighton-primo.hosted.exlibrisgroup.com/primo-explore/search?tab=default_tab&amp;search_scope=EVERYTHING&amp;vid=01CRU&amp;lang=en_US&amp;offset=0&amp;query=any,contains,991003142249702656","Catalog Record")</f>
        <v/>
      </c>
      <c r="AT128">
        <f>HYPERLINK("http://www.worldcat.org/oclc/683551","WorldCat Record")</f>
        <v/>
      </c>
      <c r="AU128" t="inlineStr">
        <is>
          <t>473680:eng</t>
        </is>
      </c>
      <c r="AV128" t="inlineStr">
        <is>
          <t>683551</t>
        </is>
      </c>
      <c r="AW128" t="inlineStr">
        <is>
          <t>991003142249702656</t>
        </is>
      </c>
      <c r="AX128" t="inlineStr">
        <is>
          <t>991003142249702656</t>
        </is>
      </c>
      <c r="AY128" t="inlineStr">
        <is>
          <t>2263077670002656</t>
        </is>
      </c>
      <c r="AZ128" t="inlineStr">
        <is>
          <t>BOOK</t>
        </is>
      </c>
      <c r="BC128" t="inlineStr">
        <is>
          <t>32285002001377</t>
        </is>
      </c>
      <c r="BD128" t="inlineStr">
        <is>
          <t>893434682</t>
        </is>
      </c>
    </row>
    <row r="129">
      <c r="A129" t="inlineStr">
        <is>
          <t>No</t>
        </is>
      </c>
      <c r="B129" t="inlineStr">
        <is>
          <t>BF1411 .C45</t>
        </is>
      </c>
      <c r="C129" t="inlineStr">
        <is>
          <t>0                      BF 1411000C  45</t>
        </is>
      </c>
      <c r="D129" t="inlineStr">
        <is>
          <t>ESP, seers &amp; psychics.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Christopher, Milbourne.</t>
        </is>
      </c>
      <c r="L129" t="inlineStr">
        <is>
          <t>New York : Crowell, [1970]</t>
        </is>
      </c>
      <c r="M129" t="inlineStr">
        <is>
          <t>1970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BF </t>
        </is>
      </c>
      <c r="S129" t="n">
        <v>15</v>
      </c>
      <c r="T129" t="n">
        <v>15</v>
      </c>
      <c r="U129" t="inlineStr">
        <is>
          <t>1998-03-03</t>
        </is>
      </c>
      <c r="V129" t="inlineStr">
        <is>
          <t>1998-03-03</t>
        </is>
      </c>
      <c r="W129" t="inlineStr">
        <is>
          <t>1991-12-17</t>
        </is>
      </c>
      <c r="X129" t="inlineStr">
        <is>
          <t>1991-12-17</t>
        </is>
      </c>
      <c r="Y129" t="n">
        <v>578</v>
      </c>
      <c r="Z129" t="n">
        <v>548</v>
      </c>
      <c r="AA129" t="n">
        <v>550</v>
      </c>
      <c r="AB129" t="n">
        <v>5</v>
      </c>
      <c r="AC129" t="n">
        <v>5</v>
      </c>
      <c r="AD129" t="n">
        <v>9</v>
      </c>
      <c r="AE129" t="n">
        <v>9</v>
      </c>
      <c r="AF129" t="n">
        <v>3</v>
      </c>
      <c r="AG129" t="n">
        <v>3</v>
      </c>
      <c r="AH129" t="n">
        <v>1</v>
      </c>
      <c r="AI129" t="n">
        <v>1</v>
      </c>
      <c r="AJ129" t="n">
        <v>3</v>
      </c>
      <c r="AK129" t="n">
        <v>3</v>
      </c>
      <c r="AL129" t="n">
        <v>4</v>
      </c>
      <c r="AM129" t="n">
        <v>4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HYPERLINK("http://catalog.hathitrust.org/Record/000475256","HathiTrust Record")</f>
        <v/>
      </c>
      <c r="AS129">
        <f>HYPERLINK("https://creighton-primo.hosted.exlibrisgroup.com/primo-explore/search?tab=default_tab&amp;search_scope=EVERYTHING&amp;vid=01CRU&amp;lang=en_US&amp;offset=0&amp;query=any,contains,991000596179702656","Catalog Record")</f>
        <v/>
      </c>
      <c r="AT129">
        <f>HYPERLINK("http://www.worldcat.org/oclc/97063","WorldCat Record")</f>
        <v/>
      </c>
      <c r="AU129" t="inlineStr">
        <is>
          <t>1324007:eng</t>
        </is>
      </c>
      <c r="AV129" t="inlineStr">
        <is>
          <t>97063</t>
        </is>
      </c>
      <c r="AW129" t="inlineStr">
        <is>
          <t>991000596179702656</t>
        </is>
      </c>
      <c r="AX129" t="inlineStr">
        <is>
          <t>991000596179702656</t>
        </is>
      </c>
      <c r="AY129" t="inlineStr">
        <is>
          <t>2269875230002656</t>
        </is>
      </c>
      <c r="AZ129" t="inlineStr">
        <is>
          <t>BOOK</t>
        </is>
      </c>
      <c r="BB129" t="inlineStr">
        <is>
          <t>9780690268157</t>
        </is>
      </c>
      <c r="BC129" t="inlineStr">
        <is>
          <t>32285000879824</t>
        </is>
      </c>
      <c r="BD129" t="inlineStr">
        <is>
          <t>893407347</t>
        </is>
      </c>
    </row>
    <row r="130">
      <c r="A130" t="inlineStr">
        <is>
          <t>No</t>
        </is>
      </c>
      <c r="B130" t="inlineStr">
        <is>
          <t>BF1411 .F87</t>
        </is>
      </c>
      <c r="C130" t="inlineStr">
        <is>
          <t>0                      BF 1411000F  87</t>
        </is>
      </c>
      <c r="D130" t="inlineStr">
        <is>
          <t>Future science : life energies and the physics of paranormal phenomena / edited by John White and Stanley Krippner.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L130" t="inlineStr">
        <is>
          <t>Garden City, N.Y. : Anchor Books, 1977.</t>
        </is>
      </c>
      <c r="M130" t="inlineStr">
        <is>
          <t>1977</t>
        </is>
      </c>
      <c r="N130" t="inlineStr">
        <is>
          <t>1st ed.</t>
        </is>
      </c>
      <c r="O130" t="inlineStr">
        <is>
          <t>eng</t>
        </is>
      </c>
      <c r="P130" t="inlineStr">
        <is>
          <t>nyu</t>
        </is>
      </c>
      <c r="R130" t="inlineStr">
        <is>
          <t xml:space="preserve">BF </t>
        </is>
      </c>
      <c r="S130" t="n">
        <v>8</v>
      </c>
      <c r="T130" t="n">
        <v>8</v>
      </c>
      <c r="U130" t="inlineStr">
        <is>
          <t>1997-09-21</t>
        </is>
      </c>
      <c r="V130" t="inlineStr">
        <is>
          <t>1997-09-21</t>
        </is>
      </c>
      <c r="W130" t="inlineStr">
        <is>
          <t>1994-01-14</t>
        </is>
      </c>
      <c r="X130" t="inlineStr">
        <is>
          <t>1994-01-14</t>
        </is>
      </c>
      <c r="Y130" t="n">
        <v>234</v>
      </c>
      <c r="Z130" t="n">
        <v>210</v>
      </c>
      <c r="AA130" t="n">
        <v>215</v>
      </c>
      <c r="AB130" t="n">
        <v>3</v>
      </c>
      <c r="AC130" t="n">
        <v>3</v>
      </c>
      <c r="AD130" t="n">
        <v>7</v>
      </c>
      <c r="AE130" t="n">
        <v>7</v>
      </c>
      <c r="AF130" t="n">
        <v>3</v>
      </c>
      <c r="AG130" t="n">
        <v>3</v>
      </c>
      <c r="AH130" t="n">
        <v>0</v>
      </c>
      <c r="AI130" t="n">
        <v>0</v>
      </c>
      <c r="AJ130" t="n">
        <v>5</v>
      </c>
      <c r="AK130" t="n">
        <v>5</v>
      </c>
      <c r="AL130" t="n">
        <v>1</v>
      </c>
      <c r="AM130" t="n">
        <v>1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HYPERLINK("https://creighton-primo.hosted.exlibrisgroup.com/primo-explore/search?tab=default_tab&amp;search_scope=EVERYTHING&amp;vid=01CRU&amp;lang=en_US&amp;offset=0&amp;query=any,contains,991004315759702656","Catalog Record")</f>
        <v/>
      </c>
      <c r="AT130">
        <f>HYPERLINK("http://www.worldcat.org/oclc/3003737","WorldCat Record")</f>
        <v/>
      </c>
      <c r="AU130" t="inlineStr">
        <is>
          <t>6723597:eng</t>
        </is>
      </c>
      <c r="AV130" t="inlineStr">
        <is>
          <t>3003737</t>
        </is>
      </c>
      <c r="AW130" t="inlineStr">
        <is>
          <t>991004315759702656</t>
        </is>
      </c>
      <c r="AX130" t="inlineStr">
        <is>
          <t>991004315759702656</t>
        </is>
      </c>
      <c r="AY130" t="inlineStr">
        <is>
          <t>2272713060002656</t>
        </is>
      </c>
      <c r="AZ130" t="inlineStr">
        <is>
          <t>BOOK</t>
        </is>
      </c>
      <c r="BB130" t="inlineStr">
        <is>
          <t>9780385112031</t>
        </is>
      </c>
      <c r="BC130" t="inlineStr">
        <is>
          <t>32285001832939</t>
        </is>
      </c>
      <c r="BD130" t="inlineStr">
        <is>
          <t>893506696</t>
        </is>
      </c>
    </row>
    <row r="131">
      <c r="A131" t="inlineStr">
        <is>
          <t>No</t>
        </is>
      </c>
      <c r="B131" t="inlineStr">
        <is>
          <t>BF1411 .S34</t>
        </is>
      </c>
      <c r="C131" t="inlineStr">
        <is>
          <t>0                      BF 1411000S  34</t>
        </is>
      </c>
      <c r="D131" t="inlineStr">
        <is>
          <t>The Satan trap : dangers of the occult / edited by Martin Ebon.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Garden City, N.Y. : Doubleday, 1976.</t>
        </is>
      </c>
      <c r="M131" t="inlineStr">
        <is>
          <t>1976</t>
        </is>
      </c>
      <c r="N131" t="inlineStr">
        <is>
          <t>1st ed.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BF </t>
        </is>
      </c>
      <c r="S131" t="n">
        <v>4</v>
      </c>
      <c r="T131" t="n">
        <v>4</v>
      </c>
      <c r="U131" t="inlineStr">
        <is>
          <t>2007-04-15</t>
        </is>
      </c>
      <c r="V131" t="inlineStr">
        <is>
          <t>2007-04-15</t>
        </is>
      </c>
      <c r="W131" t="inlineStr">
        <is>
          <t>1990-11-30</t>
        </is>
      </c>
      <c r="X131" t="inlineStr">
        <is>
          <t>1990-11-30</t>
        </is>
      </c>
      <c r="Y131" t="n">
        <v>549</v>
      </c>
      <c r="Z131" t="n">
        <v>511</v>
      </c>
      <c r="AA131" t="n">
        <v>516</v>
      </c>
      <c r="AB131" t="n">
        <v>6</v>
      </c>
      <c r="AC131" t="n">
        <v>6</v>
      </c>
      <c r="AD131" t="n">
        <v>16</v>
      </c>
      <c r="AE131" t="n">
        <v>16</v>
      </c>
      <c r="AF131" t="n">
        <v>6</v>
      </c>
      <c r="AG131" t="n">
        <v>6</v>
      </c>
      <c r="AH131" t="n">
        <v>3</v>
      </c>
      <c r="AI131" t="n">
        <v>3</v>
      </c>
      <c r="AJ131" t="n">
        <v>8</v>
      </c>
      <c r="AK131" t="n">
        <v>8</v>
      </c>
      <c r="AL131" t="n">
        <v>3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HYPERLINK("https://creighton-primo.hosted.exlibrisgroup.com/primo-explore/search?tab=default_tab&amp;search_scope=EVERYTHING&amp;vid=01CRU&amp;lang=en_US&amp;offset=0&amp;query=any,contains,991003858299702656","Catalog Record")</f>
        <v/>
      </c>
      <c r="AT131">
        <f>HYPERLINK("http://www.worldcat.org/oclc/1659511","WorldCat Record")</f>
        <v/>
      </c>
      <c r="AU131" t="inlineStr">
        <is>
          <t>2467320:eng</t>
        </is>
      </c>
      <c r="AV131" t="inlineStr">
        <is>
          <t>1659511</t>
        </is>
      </c>
      <c r="AW131" t="inlineStr">
        <is>
          <t>991003858299702656</t>
        </is>
      </c>
      <c r="AX131" t="inlineStr">
        <is>
          <t>991003858299702656</t>
        </is>
      </c>
      <c r="AY131" t="inlineStr">
        <is>
          <t>2256771890002656</t>
        </is>
      </c>
      <c r="AZ131" t="inlineStr">
        <is>
          <t>BOOK</t>
        </is>
      </c>
      <c r="BB131" t="inlineStr">
        <is>
          <t>9780385079419</t>
        </is>
      </c>
      <c r="BC131" t="inlineStr">
        <is>
          <t>32285000410026</t>
        </is>
      </c>
      <c r="BD131" t="inlineStr">
        <is>
          <t>893324622</t>
        </is>
      </c>
    </row>
    <row r="132">
      <c r="A132" t="inlineStr">
        <is>
          <t>No</t>
        </is>
      </c>
      <c r="B132" t="inlineStr">
        <is>
          <t>BF1421 .D6</t>
        </is>
      </c>
      <c r="C132" t="inlineStr">
        <is>
          <t>0                      BF 1421000D  6</t>
        </is>
      </c>
      <c r="D132" t="inlineStr">
        <is>
          <t>The Greeks and the irrational / E. R. Dodds.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Dodds, E. R. (Eric Robertson), 1893-1979.</t>
        </is>
      </c>
      <c r="L132" t="inlineStr">
        <is>
          <t>Berkeley : University of California Press, c1951, 1973 printing.</t>
        </is>
      </c>
      <c r="M132" t="inlineStr">
        <is>
          <t>1973</t>
        </is>
      </c>
      <c r="O132" t="inlineStr">
        <is>
          <t>eng</t>
        </is>
      </c>
      <c r="P132" t="inlineStr">
        <is>
          <t>cau</t>
        </is>
      </c>
      <c r="Q132" t="inlineStr">
        <is>
          <t>Sather classical lectures ; v. 25</t>
        </is>
      </c>
      <c r="R132" t="inlineStr">
        <is>
          <t xml:space="preserve">BF </t>
        </is>
      </c>
      <c r="S132" t="n">
        <v>11</v>
      </c>
      <c r="T132" t="n">
        <v>11</v>
      </c>
      <c r="U132" t="inlineStr">
        <is>
          <t>2010-11-29</t>
        </is>
      </c>
      <c r="V132" t="inlineStr">
        <is>
          <t>2010-11-29</t>
        </is>
      </c>
      <c r="W132" t="inlineStr">
        <is>
          <t>1992-05-12</t>
        </is>
      </c>
      <c r="X132" t="inlineStr">
        <is>
          <t>1992-05-12</t>
        </is>
      </c>
      <c r="Y132" t="n">
        <v>228</v>
      </c>
      <c r="Z132" t="n">
        <v>201</v>
      </c>
      <c r="AA132" t="n">
        <v>1577</v>
      </c>
      <c r="AB132" t="n">
        <v>1</v>
      </c>
      <c r="AC132" t="n">
        <v>9</v>
      </c>
      <c r="AD132" t="n">
        <v>5</v>
      </c>
      <c r="AE132" t="n">
        <v>56</v>
      </c>
      <c r="AF132" t="n">
        <v>5</v>
      </c>
      <c r="AG132" t="n">
        <v>27</v>
      </c>
      <c r="AH132" t="n">
        <v>1</v>
      </c>
      <c r="AI132" t="n">
        <v>11</v>
      </c>
      <c r="AJ132" t="n">
        <v>1</v>
      </c>
      <c r="AK132" t="n">
        <v>25</v>
      </c>
      <c r="AL132" t="n">
        <v>0</v>
      </c>
      <c r="AM132" t="n">
        <v>7</v>
      </c>
      <c r="AN132" t="n">
        <v>0</v>
      </c>
      <c r="AO132" t="n">
        <v>0</v>
      </c>
      <c r="AP132" t="inlineStr">
        <is>
          <t>No</t>
        </is>
      </c>
      <c r="AQ132" t="inlineStr">
        <is>
          <t>No</t>
        </is>
      </c>
      <c r="AS132">
        <f>HYPERLINK("https://creighton-primo.hosted.exlibrisgroup.com/primo-explore/search?tab=default_tab&amp;search_scope=EVERYTHING&amp;vid=01CRU&amp;lang=en_US&amp;offset=0&amp;query=any,contains,991005371109702656","Catalog Record")</f>
        <v/>
      </c>
      <c r="AT132">
        <f>HYPERLINK("http://www.worldcat.org/oclc/3410339","WorldCat Record")</f>
        <v/>
      </c>
      <c r="AU132" t="inlineStr">
        <is>
          <t>19970188:eng</t>
        </is>
      </c>
      <c r="AV132" t="inlineStr">
        <is>
          <t>3410339</t>
        </is>
      </c>
      <c r="AW132" t="inlineStr">
        <is>
          <t>991005371109702656</t>
        </is>
      </c>
      <c r="AX132" t="inlineStr">
        <is>
          <t>991005371109702656</t>
        </is>
      </c>
      <c r="AY132" t="inlineStr">
        <is>
          <t>2266601010002656</t>
        </is>
      </c>
      <c r="AZ132" t="inlineStr">
        <is>
          <t>BOOK</t>
        </is>
      </c>
      <c r="BB132" t="inlineStr">
        <is>
          <t>9780520003279</t>
        </is>
      </c>
      <c r="BC132" t="inlineStr">
        <is>
          <t>32285001097541</t>
        </is>
      </c>
      <c r="BD132" t="inlineStr">
        <is>
          <t>893808311</t>
        </is>
      </c>
    </row>
    <row r="133">
      <c r="A133" t="inlineStr">
        <is>
          <t>No</t>
        </is>
      </c>
      <c r="B133" t="inlineStr">
        <is>
          <t>BF1429 .O26 1984</t>
        </is>
      </c>
      <c r="C133" t="inlineStr">
        <is>
          <t>0                      BF 1429000O  26          1984</t>
        </is>
      </c>
      <c r="D133" t="inlineStr">
        <is>
          <t>Occult and scientific mentalities in the Renaissance / edited by Brian Vickers.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Cambridge [Cambridgeshire] ; New York : Cambridge University Press, 1984.</t>
        </is>
      </c>
      <c r="M133" t="inlineStr">
        <is>
          <t>1984</t>
        </is>
      </c>
      <c r="O133" t="inlineStr">
        <is>
          <t>eng</t>
        </is>
      </c>
      <c r="P133" t="inlineStr">
        <is>
          <t>enk</t>
        </is>
      </c>
      <c r="R133" t="inlineStr">
        <is>
          <t xml:space="preserve">BF </t>
        </is>
      </c>
      <c r="S133" t="n">
        <v>5</v>
      </c>
      <c r="T133" t="n">
        <v>5</v>
      </c>
      <c r="U133" t="inlineStr">
        <is>
          <t>2006-04-11</t>
        </is>
      </c>
      <c r="V133" t="inlineStr">
        <is>
          <t>2006-04-11</t>
        </is>
      </c>
      <c r="W133" t="inlineStr">
        <is>
          <t>1993-04-12</t>
        </is>
      </c>
      <c r="X133" t="inlineStr">
        <is>
          <t>1993-04-12</t>
        </is>
      </c>
      <c r="Y133" t="n">
        <v>600</v>
      </c>
      <c r="Z133" t="n">
        <v>449</v>
      </c>
      <c r="AA133" t="n">
        <v>452</v>
      </c>
      <c r="AB133" t="n">
        <v>3</v>
      </c>
      <c r="AC133" t="n">
        <v>3</v>
      </c>
      <c r="AD133" t="n">
        <v>22</v>
      </c>
      <c r="AE133" t="n">
        <v>22</v>
      </c>
      <c r="AF133" t="n">
        <v>6</v>
      </c>
      <c r="AG133" t="n">
        <v>6</v>
      </c>
      <c r="AH133" t="n">
        <v>6</v>
      </c>
      <c r="AI133" t="n">
        <v>6</v>
      </c>
      <c r="AJ133" t="n">
        <v>12</v>
      </c>
      <c r="AK133" t="n">
        <v>12</v>
      </c>
      <c r="AL133" t="n">
        <v>2</v>
      </c>
      <c r="AM133" t="n">
        <v>2</v>
      </c>
      <c r="AN133" t="n">
        <v>0</v>
      </c>
      <c r="AO133" t="n">
        <v>0</v>
      </c>
      <c r="AP133" t="inlineStr">
        <is>
          <t>No</t>
        </is>
      </c>
      <c r="AQ133" t="inlineStr">
        <is>
          <t>No</t>
        </is>
      </c>
      <c r="AS133">
        <f>HYPERLINK("https://creighton-primo.hosted.exlibrisgroup.com/primo-explore/search?tab=default_tab&amp;search_scope=EVERYTHING&amp;vid=01CRU&amp;lang=en_US&amp;offset=0&amp;query=any,contains,991000263509702656","Catalog Record")</f>
        <v/>
      </c>
      <c r="AT133">
        <f>HYPERLINK("http://www.worldcat.org/oclc/9827617","WorldCat Record")</f>
        <v/>
      </c>
      <c r="AU133" t="inlineStr">
        <is>
          <t>917502890:eng</t>
        </is>
      </c>
      <c r="AV133" t="inlineStr">
        <is>
          <t>9827617</t>
        </is>
      </c>
      <c r="AW133" t="inlineStr">
        <is>
          <t>991000263509702656</t>
        </is>
      </c>
      <c r="AX133" t="inlineStr">
        <is>
          <t>991000263509702656</t>
        </is>
      </c>
      <c r="AY133" t="inlineStr">
        <is>
          <t>2269159480002656</t>
        </is>
      </c>
      <c r="AZ133" t="inlineStr">
        <is>
          <t>BOOK</t>
        </is>
      </c>
      <c r="BB133" t="inlineStr">
        <is>
          <t>9780521258791</t>
        </is>
      </c>
      <c r="BC133" t="inlineStr">
        <is>
          <t>32285001616555</t>
        </is>
      </c>
      <c r="BD133" t="inlineStr">
        <is>
          <t>893877928</t>
        </is>
      </c>
    </row>
    <row r="134">
      <c r="A134" t="inlineStr">
        <is>
          <t>No</t>
        </is>
      </c>
      <c r="B134" t="inlineStr">
        <is>
          <t>BF1429 .S58</t>
        </is>
      </c>
      <c r="C134" t="inlineStr">
        <is>
          <t>0                      BF 1429000S  58</t>
        </is>
      </c>
      <c r="D134" t="inlineStr">
        <is>
          <t>The occult sciences in the Renaissance : a study in intellectual patterns.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Shumaker, Wayne.</t>
        </is>
      </c>
      <c r="L134" t="inlineStr">
        <is>
          <t>Berkeley : University of California Press, [1972]</t>
        </is>
      </c>
      <c r="M134" t="inlineStr">
        <is>
          <t>1972</t>
        </is>
      </c>
      <c r="O134" t="inlineStr">
        <is>
          <t>eng</t>
        </is>
      </c>
      <c r="P134" t="inlineStr">
        <is>
          <t>cau</t>
        </is>
      </c>
      <c r="R134" t="inlineStr">
        <is>
          <t xml:space="preserve">BF </t>
        </is>
      </c>
      <c r="S134" t="n">
        <v>4</v>
      </c>
      <c r="T134" t="n">
        <v>4</v>
      </c>
      <c r="U134" t="inlineStr">
        <is>
          <t>2006-04-11</t>
        </is>
      </c>
      <c r="V134" t="inlineStr">
        <is>
          <t>2006-04-11</t>
        </is>
      </c>
      <c r="W134" t="inlineStr">
        <is>
          <t>1992-12-23</t>
        </is>
      </c>
      <c r="X134" t="inlineStr">
        <is>
          <t>1992-12-23</t>
        </is>
      </c>
      <c r="Y134" t="n">
        <v>991</v>
      </c>
      <c r="Z134" t="n">
        <v>821</v>
      </c>
      <c r="AA134" t="n">
        <v>883</v>
      </c>
      <c r="AB134" t="n">
        <v>6</v>
      </c>
      <c r="AC134" t="n">
        <v>6</v>
      </c>
      <c r="AD134" t="n">
        <v>39</v>
      </c>
      <c r="AE134" t="n">
        <v>40</v>
      </c>
      <c r="AF134" t="n">
        <v>16</v>
      </c>
      <c r="AG134" t="n">
        <v>16</v>
      </c>
      <c r="AH134" t="n">
        <v>9</v>
      </c>
      <c r="AI134" t="n">
        <v>10</v>
      </c>
      <c r="AJ134" t="n">
        <v>18</v>
      </c>
      <c r="AK134" t="n">
        <v>19</v>
      </c>
      <c r="AL134" t="n">
        <v>5</v>
      </c>
      <c r="AM134" t="n">
        <v>5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HYPERLINK("http://catalog.hathitrust.org/Record/000005167","HathiTrust Record")</f>
        <v/>
      </c>
      <c r="AS134">
        <f>HYPERLINK("https://creighton-primo.hosted.exlibrisgroup.com/primo-explore/search?tab=default_tab&amp;search_scope=EVERYTHING&amp;vid=01CRU&amp;lang=en_US&amp;offset=0&amp;query=any,contains,991002493319702656","Catalog Record")</f>
        <v/>
      </c>
      <c r="AT134">
        <f>HYPERLINK("http://www.worldcat.org/oclc/363136","WorldCat Record")</f>
        <v/>
      </c>
      <c r="AU134" t="inlineStr">
        <is>
          <t>501935:eng</t>
        </is>
      </c>
      <c r="AV134" t="inlineStr">
        <is>
          <t>363136</t>
        </is>
      </c>
      <c r="AW134" t="inlineStr">
        <is>
          <t>991002493319702656</t>
        </is>
      </c>
      <c r="AX134" t="inlineStr">
        <is>
          <t>991002493319702656</t>
        </is>
      </c>
      <c r="AY134" t="inlineStr">
        <is>
          <t>2263980890002656</t>
        </is>
      </c>
      <c r="AZ134" t="inlineStr">
        <is>
          <t>BOOK</t>
        </is>
      </c>
      <c r="BB134" t="inlineStr">
        <is>
          <t>9780520020214</t>
        </is>
      </c>
      <c r="BC134" t="inlineStr">
        <is>
          <t>32285001471092</t>
        </is>
      </c>
      <c r="BD134" t="inlineStr">
        <is>
          <t>893226912</t>
        </is>
      </c>
    </row>
    <row r="135">
      <c r="A135" t="inlineStr">
        <is>
          <t>No</t>
        </is>
      </c>
      <c r="B135" t="inlineStr">
        <is>
          <t>BF1429 .W4 1976</t>
        </is>
      </c>
      <c r="C135" t="inlineStr">
        <is>
          <t>0                      BF 1429000W  4           1976</t>
        </is>
      </c>
      <c r="D135" t="inlineStr">
        <is>
          <t>The occult establishment / James Webb.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Webb, James, 1946-1980.</t>
        </is>
      </c>
      <c r="L135" t="inlineStr">
        <is>
          <t>La Salle, Ill. : Open Court Pub. Co., 1976.</t>
        </is>
      </c>
      <c r="M135" t="inlineStr">
        <is>
          <t>1976</t>
        </is>
      </c>
      <c r="O135" t="inlineStr">
        <is>
          <t>eng</t>
        </is>
      </c>
      <c r="P135" t="inlineStr">
        <is>
          <t>ilu</t>
        </is>
      </c>
      <c r="R135" t="inlineStr">
        <is>
          <t xml:space="preserve">BF </t>
        </is>
      </c>
      <c r="S135" t="n">
        <v>8</v>
      </c>
      <c r="T135" t="n">
        <v>8</v>
      </c>
      <c r="U135" t="inlineStr">
        <is>
          <t>2007-05-12</t>
        </is>
      </c>
      <c r="V135" t="inlineStr">
        <is>
          <t>2007-05-12</t>
        </is>
      </c>
      <c r="W135" t="inlineStr">
        <is>
          <t>1993-04-12</t>
        </is>
      </c>
      <c r="X135" t="inlineStr">
        <is>
          <t>1993-04-12</t>
        </is>
      </c>
      <c r="Y135" t="n">
        <v>283</v>
      </c>
      <c r="Z135" t="n">
        <v>228</v>
      </c>
      <c r="AA135" t="n">
        <v>318</v>
      </c>
      <c r="AB135" t="n">
        <v>2</v>
      </c>
      <c r="AC135" t="n">
        <v>2</v>
      </c>
      <c r="AD135" t="n">
        <v>9</v>
      </c>
      <c r="AE135" t="n">
        <v>13</v>
      </c>
      <c r="AF135" t="n">
        <v>2</v>
      </c>
      <c r="AG135" t="n">
        <v>5</v>
      </c>
      <c r="AH135" t="n">
        <v>2</v>
      </c>
      <c r="AI135" t="n">
        <v>4</v>
      </c>
      <c r="AJ135" t="n">
        <v>6</v>
      </c>
      <c r="AK135" t="n">
        <v>7</v>
      </c>
      <c r="AL135" t="n">
        <v>1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HYPERLINK("http://catalog.hathitrust.org/Record/001105822","HathiTrust Record")</f>
        <v/>
      </c>
      <c r="AS135">
        <f>HYPERLINK("https://creighton-primo.hosted.exlibrisgroup.com/primo-explore/search?tab=default_tab&amp;search_scope=EVERYTHING&amp;vid=01CRU&amp;lang=en_US&amp;offset=0&amp;query=any,contains,991003804519702656","Catalog Record")</f>
        <v/>
      </c>
      <c r="AT135">
        <f>HYPERLINK("http://www.worldcat.org/oclc/1529534","WorldCat Record")</f>
        <v/>
      </c>
      <c r="AU135" t="inlineStr">
        <is>
          <t>40731854:eng</t>
        </is>
      </c>
      <c r="AV135" t="inlineStr">
        <is>
          <t>1529534</t>
        </is>
      </c>
      <c r="AW135" t="inlineStr">
        <is>
          <t>991003804519702656</t>
        </is>
      </c>
      <c r="AX135" t="inlineStr">
        <is>
          <t>991003804519702656</t>
        </is>
      </c>
      <c r="AY135" t="inlineStr">
        <is>
          <t>2256726510002656</t>
        </is>
      </c>
      <c r="AZ135" t="inlineStr">
        <is>
          <t>BOOK</t>
        </is>
      </c>
      <c r="BB135" t="inlineStr">
        <is>
          <t>9780912050560</t>
        </is>
      </c>
      <c r="BC135" t="inlineStr">
        <is>
          <t>32285001616563</t>
        </is>
      </c>
      <c r="BD135" t="inlineStr">
        <is>
          <t>893445872</t>
        </is>
      </c>
    </row>
    <row r="136">
      <c r="A136" t="inlineStr">
        <is>
          <t>No</t>
        </is>
      </c>
      <c r="B136" t="inlineStr">
        <is>
          <t>BF1461 .L4 1956</t>
        </is>
      </c>
      <c r="C136" t="inlineStr">
        <is>
          <t>0                      BF 1461000L  4           1956</t>
        </is>
      </c>
      <c r="D136" t="inlineStr">
        <is>
          <t>Ghost book / Shane Leslie.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Leslie, Shane, 1885-1971.</t>
        </is>
      </c>
      <c r="L136" t="inlineStr">
        <is>
          <t>London : Hollis &amp; Carter, 1956.</t>
        </is>
      </c>
      <c r="M136" t="inlineStr">
        <is>
          <t>1956</t>
        </is>
      </c>
      <c r="N136" t="inlineStr">
        <is>
          <t>2d. ed.</t>
        </is>
      </c>
      <c r="O136" t="inlineStr">
        <is>
          <t>eng</t>
        </is>
      </c>
      <c r="P136" t="inlineStr">
        <is>
          <t>enk</t>
        </is>
      </c>
      <c r="R136" t="inlineStr">
        <is>
          <t xml:space="preserve">BF </t>
        </is>
      </c>
      <c r="S136" t="n">
        <v>9</v>
      </c>
      <c r="T136" t="n">
        <v>9</v>
      </c>
      <c r="U136" t="inlineStr">
        <is>
          <t>2009-07-01</t>
        </is>
      </c>
      <c r="V136" t="inlineStr">
        <is>
          <t>2009-07-01</t>
        </is>
      </c>
      <c r="W136" t="inlineStr">
        <is>
          <t>1992-04-09</t>
        </is>
      </c>
      <c r="X136" t="inlineStr">
        <is>
          <t>1992-04-09</t>
        </is>
      </c>
      <c r="Y136" t="n">
        <v>46</v>
      </c>
      <c r="Z136" t="n">
        <v>40</v>
      </c>
      <c r="AA136" t="n">
        <v>131</v>
      </c>
      <c r="AB136" t="n">
        <v>1</v>
      </c>
      <c r="AC136" t="n">
        <v>2</v>
      </c>
      <c r="AD136" t="n">
        <v>3</v>
      </c>
      <c r="AE136" t="n">
        <v>17</v>
      </c>
      <c r="AF136" t="n">
        <v>1</v>
      </c>
      <c r="AG136" t="n">
        <v>5</v>
      </c>
      <c r="AH136" t="n">
        <v>2</v>
      </c>
      <c r="AI136" t="n">
        <v>3</v>
      </c>
      <c r="AJ136" t="n">
        <v>2</v>
      </c>
      <c r="AK136" t="n">
        <v>15</v>
      </c>
      <c r="AL136" t="n">
        <v>0</v>
      </c>
      <c r="AM136" t="n">
        <v>0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HYPERLINK("http://catalog.hathitrust.org/Record/000473817","HathiTrust Record")</f>
        <v/>
      </c>
      <c r="AS136">
        <f>HYPERLINK("https://creighton-primo.hosted.exlibrisgroup.com/primo-explore/search?tab=default_tab&amp;search_scope=EVERYTHING&amp;vid=01CRU&amp;lang=en_US&amp;offset=0&amp;query=any,contains,991004806969702656","Catalog Record")</f>
        <v/>
      </c>
      <c r="AT136">
        <f>HYPERLINK("http://www.worldcat.org/oclc/5258201","WorldCat Record")</f>
        <v/>
      </c>
      <c r="AU136" t="inlineStr">
        <is>
          <t>2252473:eng</t>
        </is>
      </c>
      <c r="AV136" t="inlineStr">
        <is>
          <t>5258201</t>
        </is>
      </c>
      <c r="AW136" t="inlineStr">
        <is>
          <t>991004806969702656</t>
        </is>
      </c>
      <c r="AX136" t="inlineStr">
        <is>
          <t>991004806969702656</t>
        </is>
      </c>
      <c r="AY136" t="inlineStr">
        <is>
          <t>2261996470002656</t>
        </is>
      </c>
      <c r="AZ136" t="inlineStr">
        <is>
          <t>BOOK</t>
        </is>
      </c>
      <c r="BC136" t="inlineStr">
        <is>
          <t>32285001066306</t>
        </is>
      </c>
      <c r="BD136" t="inlineStr">
        <is>
          <t>893248003</t>
        </is>
      </c>
    </row>
    <row r="137">
      <c r="A137" t="inlineStr">
        <is>
          <t>No</t>
        </is>
      </c>
      <c r="B137" t="inlineStr">
        <is>
          <t>BF1475 .R4 1947b</t>
        </is>
      </c>
      <c r="C137" t="inlineStr">
        <is>
          <t>0                      BF 1475000R  4           1947b</t>
        </is>
      </c>
      <c r="D137" t="inlineStr">
        <is>
          <t>Ghosts in Irish houses / by James Reynolds.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Reynolds, James, 1891-</t>
        </is>
      </c>
      <c r="L137" t="inlineStr">
        <is>
          <t>New York : Bonanza Books, c1947.</t>
        </is>
      </c>
      <c r="M137" t="inlineStr">
        <is>
          <t>1947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BF </t>
        </is>
      </c>
      <c r="S137" t="n">
        <v>12</v>
      </c>
      <c r="T137" t="n">
        <v>12</v>
      </c>
      <c r="U137" t="inlineStr">
        <is>
          <t>2009-07-02</t>
        </is>
      </c>
      <c r="V137" t="inlineStr">
        <is>
          <t>2009-07-02</t>
        </is>
      </c>
      <c r="W137" t="inlineStr">
        <is>
          <t>1992-08-31</t>
        </is>
      </c>
      <c r="X137" t="inlineStr">
        <is>
          <t>1992-08-31</t>
        </is>
      </c>
      <c r="Y137" t="n">
        <v>205</v>
      </c>
      <c r="Z137" t="n">
        <v>193</v>
      </c>
      <c r="AA137" t="n">
        <v>455</v>
      </c>
      <c r="AB137" t="n">
        <v>2</v>
      </c>
      <c r="AC137" t="n">
        <v>5</v>
      </c>
      <c r="AD137" t="n">
        <v>7</v>
      </c>
      <c r="AE137" t="n">
        <v>13</v>
      </c>
      <c r="AF137" t="n">
        <v>1</v>
      </c>
      <c r="AG137" t="n">
        <v>3</v>
      </c>
      <c r="AH137" t="n">
        <v>3</v>
      </c>
      <c r="AI137" t="n">
        <v>4</v>
      </c>
      <c r="AJ137" t="n">
        <v>6</v>
      </c>
      <c r="AK137" t="n">
        <v>10</v>
      </c>
      <c r="AL137" t="n">
        <v>0</v>
      </c>
      <c r="AM137" t="n">
        <v>1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HYPERLINK("https://creighton-primo.hosted.exlibrisgroup.com/primo-explore/search?tab=default_tab&amp;search_scope=EVERYTHING&amp;vid=01CRU&amp;lang=en_US&amp;offset=0&amp;query=any,contains,991002446839702656","Catalog Record")</f>
        <v/>
      </c>
      <c r="AT137">
        <f>HYPERLINK("http://www.worldcat.org/oclc/351772","WorldCat Record")</f>
        <v/>
      </c>
      <c r="AU137" t="inlineStr">
        <is>
          <t>1387127:eng</t>
        </is>
      </c>
      <c r="AV137" t="inlineStr">
        <is>
          <t>351772</t>
        </is>
      </c>
      <c r="AW137" t="inlineStr">
        <is>
          <t>991002446839702656</t>
        </is>
      </c>
      <c r="AX137" t="inlineStr">
        <is>
          <t>991002446839702656</t>
        </is>
      </c>
      <c r="AY137" t="inlineStr">
        <is>
          <t>2266790980002656</t>
        </is>
      </c>
      <c r="AZ137" t="inlineStr">
        <is>
          <t>BOOK</t>
        </is>
      </c>
      <c r="BC137" t="inlineStr">
        <is>
          <t>32285001285021</t>
        </is>
      </c>
      <c r="BD137" t="inlineStr">
        <is>
          <t>893409107</t>
        </is>
      </c>
    </row>
    <row r="138">
      <c r="A138" t="inlineStr">
        <is>
          <t>No</t>
        </is>
      </c>
      <c r="B138" t="inlineStr">
        <is>
          <t>BF149 .A4</t>
        </is>
      </c>
      <c r="C138" t="inlineStr">
        <is>
          <t>0                      BF 0149000A  4</t>
        </is>
      </c>
      <c r="D138" t="inlineStr">
        <is>
          <t>The person in psychology; selected essays.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Allport, Gordon W. (Gordon Willard), 1897-1967.</t>
        </is>
      </c>
      <c r="L138" t="inlineStr">
        <is>
          <t>Boston, Beacon Press [1968]</t>
        </is>
      </c>
      <c r="M138" t="inlineStr">
        <is>
          <t>1968</t>
        </is>
      </c>
      <c r="O138" t="inlineStr">
        <is>
          <t>eng</t>
        </is>
      </c>
      <c r="P138" t="inlineStr">
        <is>
          <t>mau</t>
        </is>
      </c>
      <c r="R138" t="inlineStr">
        <is>
          <t xml:space="preserve">BF </t>
        </is>
      </c>
      <c r="S138" t="n">
        <v>2</v>
      </c>
      <c r="T138" t="n">
        <v>2</v>
      </c>
      <c r="U138" t="inlineStr">
        <is>
          <t>2005-09-22</t>
        </is>
      </c>
      <c r="V138" t="inlineStr">
        <is>
          <t>2005-09-22</t>
        </is>
      </c>
      <c r="W138" t="inlineStr">
        <is>
          <t>1996-07-24</t>
        </is>
      </c>
      <c r="X138" t="inlineStr">
        <is>
          <t>1996-07-24</t>
        </is>
      </c>
      <c r="Y138" t="n">
        <v>1106</v>
      </c>
      <c r="Z138" t="n">
        <v>972</v>
      </c>
      <c r="AA138" t="n">
        <v>981</v>
      </c>
      <c r="AB138" t="n">
        <v>6</v>
      </c>
      <c r="AC138" t="n">
        <v>6</v>
      </c>
      <c r="AD138" t="n">
        <v>41</v>
      </c>
      <c r="AE138" t="n">
        <v>41</v>
      </c>
      <c r="AF138" t="n">
        <v>17</v>
      </c>
      <c r="AG138" t="n">
        <v>17</v>
      </c>
      <c r="AH138" t="n">
        <v>9</v>
      </c>
      <c r="AI138" t="n">
        <v>9</v>
      </c>
      <c r="AJ138" t="n">
        <v>21</v>
      </c>
      <c r="AK138" t="n">
        <v>21</v>
      </c>
      <c r="AL138" t="n">
        <v>4</v>
      </c>
      <c r="AM138" t="n">
        <v>4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HYPERLINK("http://catalog.hathitrust.org/Record/000618433","HathiTrust Record")</f>
        <v/>
      </c>
      <c r="AS138">
        <f>HYPERLINK("https://creighton-primo.hosted.exlibrisgroup.com/primo-explore/search?tab=default_tab&amp;search_scope=EVERYTHING&amp;vid=01CRU&amp;lang=en_US&amp;offset=0&amp;query=any,contains,991001206149702656","Catalog Record")</f>
        <v/>
      </c>
      <c r="AT138">
        <f>HYPERLINK("http://www.worldcat.org/oclc/192155","WorldCat Record")</f>
        <v/>
      </c>
      <c r="AU138" t="inlineStr">
        <is>
          <t>206234869:eng</t>
        </is>
      </c>
      <c r="AV138" t="inlineStr">
        <is>
          <t>192155</t>
        </is>
      </c>
      <c r="AW138" t="inlineStr">
        <is>
          <t>991001206149702656</t>
        </is>
      </c>
      <c r="AX138" t="inlineStr">
        <is>
          <t>991001206149702656</t>
        </is>
      </c>
      <c r="AY138" t="inlineStr">
        <is>
          <t>2258512960002656</t>
        </is>
      </c>
      <c r="AZ138" t="inlineStr">
        <is>
          <t>BOOK</t>
        </is>
      </c>
      <c r="BC138" t="inlineStr">
        <is>
          <t>32285002235033</t>
        </is>
      </c>
      <c r="BD138" t="inlineStr">
        <is>
          <t>893243943</t>
        </is>
      </c>
    </row>
    <row r="139">
      <c r="A139" t="inlineStr">
        <is>
          <t>No</t>
        </is>
      </c>
      <c r="B139" t="inlineStr">
        <is>
          <t>BF149 .C58</t>
        </is>
      </c>
      <c r="C139" t="inlineStr">
        <is>
          <t>0                      BF 0149000C  58</t>
        </is>
      </c>
      <c r="D139" t="inlineStr">
        <is>
          <t>Confrontation: psychology and the problems of today. General editor: Michael Wertheimer.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[Glenview, Ill.] Scott, Foresman [1970]</t>
        </is>
      </c>
      <c r="M139" t="inlineStr">
        <is>
          <t>1970</t>
        </is>
      </c>
      <c r="O139" t="inlineStr">
        <is>
          <t>eng</t>
        </is>
      </c>
      <c r="P139" t="inlineStr">
        <is>
          <t>ilu</t>
        </is>
      </c>
      <c r="R139" t="inlineStr">
        <is>
          <t xml:space="preserve">BF </t>
        </is>
      </c>
      <c r="S139" t="n">
        <v>2</v>
      </c>
      <c r="T139" t="n">
        <v>2</v>
      </c>
      <c r="U139" t="inlineStr">
        <is>
          <t>2001-02-20</t>
        </is>
      </c>
      <c r="V139" t="inlineStr">
        <is>
          <t>2001-02-20</t>
        </is>
      </c>
      <c r="W139" t="inlineStr">
        <is>
          <t>1996-07-24</t>
        </is>
      </c>
      <c r="X139" t="inlineStr">
        <is>
          <t>1996-07-24</t>
        </is>
      </c>
      <c r="Y139" t="n">
        <v>411</v>
      </c>
      <c r="Z139" t="n">
        <v>323</v>
      </c>
      <c r="AA139" t="n">
        <v>326</v>
      </c>
      <c r="AB139" t="n">
        <v>2</v>
      </c>
      <c r="AC139" t="n">
        <v>2</v>
      </c>
      <c r="AD139" t="n">
        <v>12</v>
      </c>
      <c r="AE139" t="n">
        <v>12</v>
      </c>
      <c r="AF139" t="n">
        <v>4</v>
      </c>
      <c r="AG139" t="n">
        <v>4</v>
      </c>
      <c r="AH139" t="n">
        <v>3</v>
      </c>
      <c r="AI139" t="n">
        <v>3</v>
      </c>
      <c r="AJ139" t="n">
        <v>7</v>
      </c>
      <c r="AK139" t="n">
        <v>7</v>
      </c>
      <c r="AL139" t="n">
        <v>1</v>
      </c>
      <c r="AM139" t="n">
        <v>1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HYPERLINK("http://catalog.hathitrust.org/Record/000617884","HathiTrust Record")</f>
        <v/>
      </c>
      <c r="AS139">
        <f>HYPERLINK("https://creighton-primo.hosted.exlibrisgroup.com/primo-explore/search?tab=default_tab&amp;search_scope=EVERYTHING&amp;vid=01CRU&amp;lang=en_US&amp;offset=0&amp;query=any,contains,991000521319702656","Catalog Record")</f>
        <v/>
      </c>
      <c r="AT139">
        <f>HYPERLINK("http://www.worldcat.org/oclc/87945","WorldCat Record")</f>
        <v/>
      </c>
      <c r="AU139" t="inlineStr">
        <is>
          <t>1287909:eng</t>
        </is>
      </c>
      <c r="AV139" t="inlineStr">
        <is>
          <t>87945</t>
        </is>
      </c>
      <c r="AW139" t="inlineStr">
        <is>
          <t>991000521319702656</t>
        </is>
      </c>
      <c r="AX139" t="inlineStr">
        <is>
          <t>991000521319702656</t>
        </is>
      </c>
      <c r="AY139" t="inlineStr">
        <is>
          <t>2270868410002656</t>
        </is>
      </c>
      <c r="AZ139" t="inlineStr">
        <is>
          <t>BOOK</t>
        </is>
      </c>
      <c r="BC139" t="inlineStr">
        <is>
          <t>32285002235090</t>
        </is>
      </c>
      <c r="BD139" t="inlineStr">
        <is>
          <t>893237385</t>
        </is>
      </c>
    </row>
    <row r="140">
      <c r="A140" t="inlineStr">
        <is>
          <t>No</t>
        </is>
      </c>
      <c r="B140" t="inlineStr">
        <is>
          <t>BF149 .G8 1971</t>
        </is>
      </c>
      <c r="C140" t="inlineStr">
        <is>
          <t>0                      BF 0149000G  8           1971</t>
        </is>
      </c>
      <c r="D140" t="inlineStr">
        <is>
          <t>Psychology in the world today; an interdisciplinary approach. Edited by Robert V. Guthrie.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Guthrie, Robert V. compiler.</t>
        </is>
      </c>
      <c r="L140" t="inlineStr">
        <is>
          <t>Reading, Mass., Addison-Wesley Pub. Co. [1971]</t>
        </is>
      </c>
      <c r="M140" t="inlineStr">
        <is>
          <t>1971</t>
        </is>
      </c>
      <c r="N140" t="inlineStr">
        <is>
          <t>2d ed.</t>
        </is>
      </c>
      <c r="O140" t="inlineStr">
        <is>
          <t>eng</t>
        </is>
      </c>
      <c r="P140" t="inlineStr">
        <is>
          <t>mau</t>
        </is>
      </c>
      <c r="Q140" t="inlineStr">
        <is>
          <t>Addison-Wesley series in psychology</t>
        </is>
      </c>
      <c r="R140" t="inlineStr">
        <is>
          <t xml:space="preserve">BF </t>
        </is>
      </c>
      <c r="S140" t="n">
        <v>1</v>
      </c>
      <c r="T140" t="n">
        <v>1</v>
      </c>
      <c r="U140" t="inlineStr">
        <is>
          <t>2009-03-17</t>
        </is>
      </c>
      <c r="V140" t="inlineStr">
        <is>
          <t>2009-03-17</t>
        </is>
      </c>
      <c r="W140" t="inlineStr">
        <is>
          <t>1996-07-24</t>
        </is>
      </c>
      <c r="X140" t="inlineStr">
        <is>
          <t>1996-07-24</t>
        </is>
      </c>
      <c r="Y140" t="n">
        <v>223</v>
      </c>
      <c r="Z140" t="n">
        <v>165</v>
      </c>
      <c r="AA140" t="n">
        <v>331</v>
      </c>
      <c r="AB140" t="n">
        <v>1</v>
      </c>
      <c r="AC140" t="n">
        <v>5</v>
      </c>
      <c r="AD140" t="n">
        <v>6</v>
      </c>
      <c r="AE140" t="n">
        <v>18</v>
      </c>
      <c r="AF140" t="n">
        <v>3</v>
      </c>
      <c r="AG140" t="n">
        <v>4</v>
      </c>
      <c r="AH140" t="n">
        <v>1</v>
      </c>
      <c r="AI140" t="n">
        <v>3</v>
      </c>
      <c r="AJ140" t="n">
        <v>4</v>
      </c>
      <c r="AK140" t="n">
        <v>10</v>
      </c>
      <c r="AL140" t="n">
        <v>0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HYPERLINK("http://catalog.hathitrust.org/Record/000002169","HathiTrust Record")</f>
        <v/>
      </c>
      <c r="AS140">
        <f>HYPERLINK("https://creighton-primo.hosted.exlibrisgroup.com/primo-explore/search?tab=default_tab&amp;search_scope=EVERYTHING&amp;vid=01CRU&amp;lang=en_US&amp;offset=0&amp;query=any,contains,991000825109702656","Catalog Record")</f>
        <v/>
      </c>
      <c r="AT140">
        <f>HYPERLINK("http://www.worldcat.org/oclc/146174","WorldCat Record")</f>
        <v/>
      </c>
      <c r="AU140" t="inlineStr">
        <is>
          <t>1325292:eng</t>
        </is>
      </c>
      <c r="AV140" t="inlineStr">
        <is>
          <t>146174</t>
        </is>
      </c>
      <c r="AW140" t="inlineStr">
        <is>
          <t>991000825109702656</t>
        </is>
      </c>
      <c r="AX140" t="inlineStr">
        <is>
          <t>991000825109702656</t>
        </is>
      </c>
      <c r="AY140" t="inlineStr">
        <is>
          <t>2256215310002656</t>
        </is>
      </c>
      <c r="AZ140" t="inlineStr">
        <is>
          <t>BOOK</t>
        </is>
      </c>
      <c r="BC140" t="inlineStr">
        <is>
          <t>32285002235116</t>
        </is>
      </c>
      <c r="BD140" t="inlineStr">
        <is>
          <t>893333813</t>
        </is>
      </c>
    </row>
    <row r="141">
      <c r="A141" t="inlineStr">
        <is>
          <t>No</t>
        </is>
      </c>
      <c r="B141" t="inlineStr">
        <is>
          <t>BF149 .K53</t>
        </is>
      </c>
      <c r="C141" t="inlineStr">
        <is>
          <t>0                      BF 0149000K  53</t>
        </is>
      </c>
      <c r="D141" t="inlineStr">
        <is>
          <t>Research in psychology; readings for the introductory course. Edited by B. L. Kintz [and] James L. Bruning.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Kintz, B. L., compiler.</t>
        </is>
      </c>
      <c r="L141" t="inlineStr">
        <is>
          <t>[Glenview, Ill.] Scott, Foresman [1970]</t>
        </is>
      </c>
      <c r="M141" t="inlineStr">
        <is>
          <t>1970</t>
        </is>
      </c>
      <c r="O141" t="inlineStr">
        <is>
          <t>eng</t>
        </is>
      </c>
      <c r="P141" t="inlineStr">
        <is>
          <t>ilu</t>
        </is>
      </c>
      <c r="R141" t="inlineStr">
        <is>
          <t xml:space="preserve">BF </t>
        </is>
      </c>
      <c r="S141" t="n">
        <v>4</v>
      </c>
      <c r="T141" t="n">
        <v>4</v>
      </c>
      <c r="U141" t="inlineStr">
        <is>
          <t>2007-03-12</t>
        </is>
      </c>
      <c r="V141" t="inlineStr">
        <is>
          <t>2007-03-12</t>
        </is>
      </c>
      <c r="W141" t="inlineStr">
        <is>
          <t>1996-07-24</t>
        </is>
      </c>
      <c r="X141" t="inlineStr">
        <is>
          <t>1996-07-24</t>
        </is>
      </c>
      <c r="Y141" t="n">
        <v>215</v>
      </c>
      <c r="Z141" t="n">
        <v>169</v>
      </c>
      <c r="AA141" t="n">
        <v>175</v>
      </c>
      <c r="AB141" t="n">
        <v>1</v>
      </c>
      <c r="AC141" t="n">
        <v>1</v>
      </c>
      <c r="AD141" t="n">
        <v>8</v>
      </c>
      <c r="AE141" t="n">
        <v>8</v>
      </c>
      <c r="AF141" t="n">
        <v>4</v>
      </c>
      <c r="AG141" t="n">
        <v>4</v>
      </c>
      <c r="AH141" t="n">
        <v>1</v>
      </c>
      <c r="AI141" t="n">
        <v>1</v>
      </c>
      <c r="AJ141" t="n">
        <v>6</v>
      </c>
      <c r="AK141" t="n">
        <v>6</v>
      </c>
      <c r="AL141" t="n">
        <v>0</v>
      </c>
      <c r="AM141" t="n">
        <v>0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HYPERLINK("http://catalog.hathitrust.org/Record/012266519","HathiTrust Record")</f>
        <v/>
      </c>
      <c r="AS141">
        <f>HYPERLINK("https://creighton-primo.hosted.exlibrisgroup.com/primo-explore/search?tab=default_tab&amp;search_scope=EVERYTHING&amp;vid=01CRU&amp;lang=en_US&amp;offset=0&amp;query=any,contains,991000206719702656","Catalog Record")</f>
        <v/>
      </c>
      <c r="AT141">
        <f>HYPERLINK("http://www.worldcat.org/oclc/65417","WorldCat Record")</f>
        <v/>
      </c>
      <c r="AU141" t="inlineStr">
        <is>
          <t>820949044:eng</t>
        </is>
      </c>
      <c r="AV141" t="inlineStr">
        <is>
          <t>65417</t>
        </is>
      </c>
      <c r="AW141" t="inlineStr">
        <is>
          <t>991000206719702656</t>
        </is>
      </c>
      <c r="AX141" t="inlineStr">
        <is>
          <t>991000206719702656</t>
        </is>
      </c>
      <c r="AY141" t="inlineStr">
        <is>
          <t>2259309320002656</t>
        </is>
      </c>
      <c r="AZ141" t="inlineStr">
        <is>
          <t>BOOK</t>
        </is>
      </c>
      <c r="BC141" t="inlineStr">
        <is>
          <t>32285002235157</t>
        </is>
      </c>
      <c r="BD141" t="inlineStr">
        <is>
          <t>893438098</t>
        </is>
      </c>
    </row>
    <row r="142">
      <c r="A142" t="inlineStr">
        <is>
          <t>No</t>
        </is>
      </c>
      <c r="B142" t="inlineStr">
        <is>
          <t>BF149 .M39</t>
        </is>
      </c>
      <c r="C142" t="inlineStr">
        <is>
          <t>0                      BF 0149000M  39</t>
        </is>
      </c>
      <c r="D142" t="inlineStr">
        <is>
          <t>Psychology and the human dilemma.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May, Rollo.</t>
        </is>
      </c>
      <c r="L142" t="inlineStr">
        <is>
          <t>Princeton, N.J., Van Nostrand [c1967]</t>
        </is>
      </c>
      <c r="M142" t="inlineStr">
        <is>
          <t>1967</t>
        </is>
      </c>
      <c r="O142" t="inlineStr">
        <is>
          <t>eng</t>
        </is>
      </c>
      <c r="P142" t="inlineStr">
        <is>
          <t>nju</t>
        </is>
      </c>
      <c r="R142" t="inlineStr">
        <is>
          <t xml:space="preserve">BF </t>
        </is>
      </c>
      <c r="S142" t="n">
        <v>1</v>
      </c>
      <c r="T142" t="n">
        <v>1</v>
      </c>
      <c r="U142" t="inlineStr">
        <is>
          <t>2006-04-11</t>
        </is>
      </c>
      <c r="V142" t="inlineStr">
        <is>
          <t>2006-04-11</t>
        </is>
      </c>
      <c r="W142" t="inlineStr">
        <is>
          <t>1996-07-24</t>
        </is>
      </c>
      <c r="X142" t="inlineStr">
        <is>
          <t>1996-07-24</t>
        </is>
      </c>
      <c r="Y142" t="n">
        <v>1189</v>
      </c>
      <c r="Z142" t="n">
        <v>1041</v>
      </c>
      <c r="AA142" t="n">
        <v>1550</v>
      </c>
      <c r="AB142" t="n">
        <v>6</v>
      </c>
      <c r="AC142" t="n">
        <v>10</v>
      </c>
      <c r="AD142" t="n">
        <v>40</v>
      </c>
      <c r="AE142" t="n">
        <v>51</v>
      </c>
      <c r="AF142" t="n">
        <v>16</v>
      </c>
      <c r="AG142" t="n">
        <v>21</v>
      </c>
      <c r="AH142" t="n">
        <v>9</v>
      </c>
      <c r="AI142" t="n">
        <v>11</v>
      </c>
      <c r="AJ142" t="n">
        <v>22</v>
      </c>
      <c r="AK142" t="n">
        <v>25</v>
      </c>
      <c r="AL142" t="n">
        <v>4</v>
      </c>
      <c r="AM142" t="n">
        <v>7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HYPERLINK("http://catalog.hathitrust.org/Record/000015577","HathiTrust Record")</f>
        <v/>
      </c>
      <c r="AS142">
        <f>HYPERLINK("https://creighton-primo.hosted.exlibrisgroup.com/primo-explore/search?tab=default_tab&amp;search_scope=EVERYTHING&amp;vid=01CRU&amp;lang=en_US&amp;offset=0&amp;query=any,contains,991003430709702656","Catalog Record")</f>
        <v/>
      </c>
      <c r="AT142">
        <f>HYPERLINK("http://www.worldcat.org/oclc/965481","WorldCat Record")</f>
        <v/>
      </c>
      <c r="AU142" t="inlineStr">
        <is>
          <t>1919710:eng</t>
        </is>
      </c>
      <c r="AV142" t="inlineStr">
        <is>
          <t>965481</t>
        </is>
      </c>
      <c r="AW142" t="inlineStr">
        <is>
          <t>991003430709702656</t>
        </is>
      </c>
      <c r="AX142" t="inlineStr">
        <is>
          <t>991003430709702656</t>
        </is>
      </c>
      <c r="AY142" t="inlineStr">
        <is>
          <t>2258233960002656</t>
        </is>
      </c>
      <c r="AZ142" t="inlineStr">
        <is>
          <t>BOOK</t>
        </is>
      </c>
      <c r="BC142" t="inlineStr">
        <is>
          <t>32285002235223</t>
        </is>
      </c>
      <c r="BD142" t="inlineStr">
        <is>
          <t>893252356</t>
        </is>
      </c>
    </row>
    <row r="143">
      <c r="A143" t="inlineStr">
        <is>
          <t>No</t>
        </is>
      </c>
      <c r="B143" t="inlineStr">
        <is>
          <t>BF149 .P84 1975</t>
        </is>
      </c>
      <c r="C143" t="inlineStr">
        <is>
          <t>0                      BF 0149000P  84          1975</t>
        </is>
      </c>
      <c r="D143" t="inlineStr">
        <is>
          <t>Psychology in today's world / edited by Stanley Milgram.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Boston : Educational Associates, [1975]</t>
        </is>
      </c>
      <c r="M143" t="inlineStr">
        <is>
          <t>1975</t>
        </is>
      </c>
      <c r="O143" t="inlineStr">
        <is>
          <t>eng</t>
        </is>
      </c>
      <c r="P143" t="inlineStr">
        <is>
          <t>mau</t>
        </is>
      </c>
      <c r="R143" t="inlineStr">
        <is>
          <t xml:space="preserve">BF </t>
        </is>
      </c>
      <c r="S143" t="n">
        <v>4</v>
      </c>
      <c r="T143" t="n">
        <v>4</v>
      </c>
      <c r="U143" t="inlineStr">
        <is>
          <t>2009-10-03</t>
        </is>
      </c>
      <c r="V143" t="inlineStr">
        <is>
          <t>2009-10-03</t>
        </is>
      </c>
      <c r="W143" t="inlineStr">
        <is>
          <t>1996-07-24</t>
        </is>
      </c>
      <c r="X143" t="inlineStr">
        <is>
          <t>1996-07-24</t>
        </is>
      </c>
      <c r="Y143" t="n">
        <v>105</v>
      </c>
      <c r="Z143" t="n">
        <v>95</v>
      </c>
      <c r="AA143" t="n">
        <v>96</v>
      </c>
      <c r="AB143" t="n">
        <v>1</v>
      </c>
      <c r="AC143" t="n">
        <v>1</v>
      </c>
      <c r="AD143" t="n">
        <v>4</v>
      </c>
      <c r="AE143" t="n">
        <v>4</v>
      </c>
      <c r="AF143" t="n">
        <v>1</v>
      </c>
      <c r="AG143" t="n">
        <v>1</v>
      </c>
      <c r="AH143" t="n">
        <v>1</v>
      </c>
      <c r="AI143" t="n">
        <v>1</v>
      </c>
      <c r="AJ143" t="n">
        <v>2</v>
      </c>
      <c r="AK143" t="n">
        <v>2</v>
      </c>
      <c r="AL143" t="n">
        <v>0</v>
      </c>
      <c r="AM143" t="n">
        <v>0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HYPERLINK("http://catalog.hathitrust.org/Record/000690823","HathiTrust Record")</f>
        <v/>
      </c>
      <c r="AS143">
        <f>HYPERLINK("https://creighton-primo.hosted.exlibrisgroup.com/primo-explore/search?tab=default_tab&amp;search_scope=EVERYTHING&amp;vid=01CRU&amp;lang=en_US&amp;offset=0&amp;query=any,contains,991003836309702656","Catalog Record")</f>
        <v/>
      </c>
      <c r="AT143">
        <f>HYPERLINK("http://www.worldcat.org/oclc/1601996","WorldCat Record")</f>
        <v/>
      </c>
      <c r="AU143" t="inlineStr">
        <is>
          <t>2383489:eng</t>
        </is>
      </c>
      <c r="AV143" t="inlineStr">
        <is>
          <t>1601996</t>
        </is>
      </c>
      <c r="AW143" t="inlineStr">
        <is>
          <t>991003836309702656</t>
        </is>
      </c>
      <c r="AX143" t="inlineStr">
        <is>
          <t>991003836309702656</t>
        </is>
      </c>
      <c r="AY143" t="inlineStr">
        <is>
          <t>2266647190002656</t>
        </is>
      </c>
      <c r="AZ143" t="inlineStr">
        <is>
          <t>BOOK</t>
        </is>
      </c>
      <c r="BC143" t="inlineStr">
        <is>
          <t>32285002235249</t>
        </is>
      </c>
      <c r="BD143" t="inlineStr">
        <is>
          <t>893512417</t>
        </is>
      </c>
    </row>
    <row r="144">
      <c r="A144" t="inlineStr">
        <is>
          <t>No</t>
        </is>
      </c>
      <c r="B144" t="inlineStr">
        <is>
          <t>BF149 .S4</t>
        </is>
      </c>
      <c r="C144" t="inlineStr">
        <is>
          <t>0                      BF 0149000S  4</t>
        </is>
      </c>
      <c r="D144" t="inlineStr">
        <is>
          <t>Humanistic viewpoints in psychology : a book of readings / [by] Frank T. Severin.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Severin, Frank T., editor.</t>
        </is>
      </c>
      <c r="L144" t="inlineStr">
        <is>
          <t>New York : McGraw-Hill, [1965]</t>
        </is>
      </c>
      <c r="M144" t="inlineStr">
        <is>
          <t>1965</t>
        </is>
      </c>
      <c r="O144" t="inlineStr">
        <is>
          <t>eng</t>
        </is>
      </c>
      <c r="P144" t="inlineStr">
        <is>
          <t>nyu</t>
        </is>
      </c>
      <c r="R144" t="inlineStr">
        <is>
          <t xml:space="preserve">BF </t>
        </is>
      </c>
      <c r="S144" t="n">
        <v>5</v>
      </c>
      <c r="T144" t="n">
        <v>5</v>
      </c>
      <c r="U144" t="inlineStr">
        <is>
          <t>1997-12-03</t>
        </is>
      </c>
      <c r="V144" t="inlineStr">
        <is>
          <t>1997-12-03</t>
        </is>
      </c>
      <c r="W144" t="inlineStr">
        <is>
          <t>1995-03-23</t>
        </is>
      </c>
      <c r="X144" t="inlineStr">
        <is>
          <t>1995-03-23</t>
        </is>
      </c>
      <c r="Y144" t="n">
        <v>614</v>
      </c>
      <c r="Z144" t="n">
        <v>523</v>
      </c>
      <c r="AA144" t="n">
        <v>530</v>
      </c>
      <c r="AB144" t="n">
        <v>4</v>
      </c>
      <c r="AC144" t="n">
        <v>4</v>
      </c>
      <c r="AD144" t="n">
        <v>29</v>
      </c>
      <c r="AE144" t="n">
        <v>29</v>
      </c>
      <c r="AF144" t="n">
        <v>9</v>
      </c>
      <c r="AG144" t="n">
        <v>9</v>
      </c>
      <c r="AH144" t="n">
        <v>7</v>
      </c>
      <c r="AI144" t="n">
        <v>7</v>
      </c>
      <c r="AJ144" t="n">
        <v>16</v>
      </c>
      <c r="AK144" t="n">
        <v>16</v>
      </c>
      <c r="AL144" t="n">
        <v>3</v>
      </c>
      <c r="AM144" t="n">
        <v>3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HYPERLINK("http://catalog.hathitrust.org/Record/000619656","HathiTrust Record")</f>
        <v/>
      </c>
      <c r="AS144">
        <f>HYPERLINK("https://creighton-primo.hosted.exlibrisgroup.com/primo-explore/search?tab=default_tab&amp;search_scope=EVERYTHING&amp;vid=01CRU&amp;lang=en_US&amp;offset=0&amp;query=any,contains,991001205989702656","Catalog Record")</f>
        <v/>
      </c>
      <c r="AT144">
        <f>HYPERLINK("http://www.worldcat.org/oclc/192077","WorldCat Record")</f>
        <v/>
      </c>
      <c r="AU144" t="inlineStr">
        <is>
          <t>199022359:eng</t>
        </is>
      </c>
      <c r="AV144" t="inlineStr">
        <is>
          <t>192077</t>
        </is>
      </c>
      <c r="AW144" t="inlineStr">
        <is>
          <t>991001205989702656</t>
        </is>
      </c>
      <c r="AX144" t="inlineStr">
        <is>
          <t>991001205989702656</t>
        </is>
      </c>
      <c r="AY144" t="inlineStr">
        <is>
          <t>2258494410002656</t>
        </is>
      </c>
      <c r="AZ144" t="inlineStr">
        <is>
          <t>BOOK</t>
        </is>
      </c>
      <c r="BC144" t="inlineStr">
        <is>
          <t>32285002013901</t>
        </is>
      </c>
      <c r="BD144" t="inlineStr">
        <is>
          <t>893903335</t>
        </is>
      </c>
    </row>
    <row r="145">
      <c r="A145" t="inlineStr">
        <is>
          <t>No</t>
        </is>
      </c>
      <c r="B145" t="inlineStr">
        <is>
          <t>BF149 .T34 1984</t>
        </is>
      </c>
      <c r="C145" t="inlineStr">
        <is>
          <t>0                      BF 0149000T  34          1984</t>
        </is>
      </c>
      <c r="D145" t="inlineStr">
        <is>
          <t>Taking sides : clashing views on controversial psychological issues / edited, selected, and with introductions by Joseph Rubinstein and Brent D. Slife.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Yes</t>
        </is>
      </c>
      <c r="J145" t="inlineStr">
        <is>
          <t>0</t>
        </is>
      </c>
      <c r="L145" t="inlineStr">
        <is>
          <t>Guilford, Conn. : Dushkin Pub. Group, 1984.</t>
        </is>
      </c>
      <c r="M145" t="inlineStr">
        <is>
          <t>1984</t>
        </is>
      </c>
      <c r="N145" t="inlineStr">
        <is>
          <t>3rd ed.</t>
        </is>
      </c>
      <c r="O145" t="inlineStr">
        <is>
          <t>eng</t>
        </is>
      </c>
      <c r="P145" t="inlineStr">
        <is>
          <t>ctu</t>
        </is>
      </c>
      <c r="R145" t="inlineStr">
        <is>
          <t xml:space="preserve">BF </t>
        </is>
      </c>
      <c r="S145" t="n">
        <v>9</v>
      </c>
      <c r="T145" t="n">
        <v>9</v>
      </c>
      <c r="U145" t="inlineStr">
        <is>
          <t>2008-04-14</t>
        </is>
      </c>
      <c r="V145" t="inlineStr">
        <is>
          <t>2008-04-14</t>
        </is>
      </c>
      <c r="W145" t="inlineStr">
        <is>
          <t>1990-08-14</t>
        </is>
      </c>
      <c r="X145" t="inlineStr">
        <is>
          <t>1990-08-14</t>
        </is>
      </c>
      <c r="Y145" t="n">
        <v>124</v>
      </c>
      <c r="Z145" t="n">
        <v>111</v>
      </c>
      <c r="AA145" t="n">
        <v>1859</v>
      </c>
      <c r="AB145" t="n">
        <v>3</v>
      </c>
      <c r="AC145" t="n">
        <v>12</v>
      </c>
      <c r="AD145" t="n">
        <v>5</v>
      </c>
      <c r="AE145" t="n">
        <v>41</v>
      </c>
      <c r="AF145" t="n">
        <v>2</v>
      </c>
      <c r="AG145" t="n">
        <v>18</v>
      </c>
      <c r="AH145" t="n">
        <v>1</v>
      </c>
      <c r="AI145" t="n">
        <v>6</v>
      </c>
      <c r="AJ145" t="n">
        <v>4</v>
      </c>
      <c r="AK145" t="n">
        <v>20</v>
      </c>
      <c r="AL145" t="n">
        <v>0</v>
      </c>
      <c r="AM145" t="n">
        <v>7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HYPERLINK("http://catalog.hathitrust.org/Record/101974679","HathiTrust Record")</f>
        <v/>
      </c>
      <c r="AS145">
        <f>HYPERLINK("https://creighton-primo.hosted.exlibrisgroup.com/primo-explore/search?tab=default_tab&amp;search_scope=EVERYTHING&amp;vid=01CRU&amp;lang=en_US&amp;offset=0&amp;query=any,contains,991000427509702656","Catalog Record")</f>
        <v/>
      </c>
      <c r="AT145">
        <f>HYPERLINK("http://www.worldcat.org/oclc/10757602","WorldCat Record")</f>
        <v/>
      </c>
      <c r="AU145" t="inlineStr">
        <is>
          <t>4451739344:eng</t>
        </is>
      </c>
      <c r="AV145" t="inlineStr">
        <is>
          <t>10757602</t>
        </is>
      </c>
      <c r="AW145" t="inlineStr">
        <is>
          <t>991000427509702656</t>
        </is>
      </c>
      <c r="AX145" t="inlineStr">
        <is>
          <t>991000427509702656</t>
        </is>
      </c>
      <c r="AY145" t="inlineStr">
        <is>
          <t>2260339790002656</t>
        </is>
      </c>
      <c r="AZ145" t="inlineStr">
        <is>
          <t>BOOK</t>
        </is>
      </c>
      <c r="BC145" t="inlineStr">
        <is>
          <t>32285000281575</t>
        </is>
      </c>
      <c r="BD145" t="inlineStr">
        <is>
          <t>893683402</t>
        </is>
      </c>
    </row>
    <row r="146">
      <c r="A146" t="inlineStr">
        <is>
          <t>No</t>
        </is>
      </c>
      <c r="B146" t="inlineStr">
        <is>
          <t>BF1517.F5 W34 1981</t>
        </is>
      </c>
      <c r="C146" t="inlineStr">
        <is>
          <t>0                      BF 1517000F  5                  W  34          1981</t>
        </is>
      </c>
      <c r="D146" t="inlineStr">
        <is>
          <t>Unclean spirits : possession and exorcism in France and England in the late sixteenth and early seventeenth centuries / D. P. Walker.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Walker, D. P. (Daniel Pickering)</t>
        </is>
      </c>
      <c r="L146" t="inlineStr">
        <is>
          <t>Philadelphia, Pa. : University of Pennsylvania Press, 1981.</t>
        </is>
      </c>
      <c r="M146" t="inlineStr">
        <is>
          <t>1981</t>
        </is>
      </c>
      <c r="O146" t="inlineStr">
        <is>
          <t>eng</t>
        </is>
      </c>
      <c r="P146" t="inlineStr">
        <is>
          <t>pau</t>
        </is>
      </c>
      <c r="R146" t="inlineStr">
        <is>
          <t xml:space="preserve">BF </t>
        </is>
      </c>
      <c r="S146" t="n">
        <v>9</v>
      </c>
      <c r="T146" t="n">
        <v>9</v>
      </c>
      <c r="U146" t="inlineStr">
        <is>
          <t>2002-02-19</t>
        </is>
      </c>
      <c r="V146" t="inlineStr">
        <is>
          <t>2002-02-19</t>
        </is>
      </c>
      <c r="W146" t="inlineStr">
        <is>
          <t>1991-12-05</t>
        </is>
      </c>
      <c r="X146" t="inlineStr">
        <is>
          <t>1991-12-05</t>
        </is>
      </c>
      <c r="Y146" t="n">
        <v>549</v>
      </c>
      <c r="Z146" t="n">
        <v>492</v>
      </c>
      <c r="AA146" t="n">
        <v>657</v>
      </c>
      <c r="AB146" t="n">
        <v>3</v>
      </c>
      <c r="AC146" t="n">
        <v>3</v>
      </c>
      <c r="AD146" t="n">
        <v>23</v>
      </c>
      <c r="AE146" t="n">
        <v>30</v>
      </c>
      <c r="AF146" t="n">
        <v>8</v>
      </c>
      <c r="AG146" t="n">
        <v>14</v>
      </c>
      <c r="AH146" t="n">
        <v>6</v>
      </c>
      <c r="AI146" t="n">
        <v>8</v>
      </c>
      <c r="AJ146" t="n">
        <v>14</v>
      </c>
      <c r="AK146" t="n">
        <v>16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HYPERLINK("http://catalog.hathitrust.org/Record/006811698","HathiTrust Record")</f>
        <v/>
      </c>
      <c r="AS146">
        <f>HYPERLINK("https://creighton-primo.hosted.exlibrisgroup.com/primo-explore/search?tab=default_tab&amp;search_scope=EVERYTHING&amp;vid=01CRU&amp;lang=en_US&amp;offset=0&amp;query=any,contains,991005039739702656","Catalog Record")</f>
        <v/>
      </c>
      <c r="AT146">
        <f>HYPERLINK("http://www.worldcat.org/oclc/6788880","WorldCat Record")</f>
        <v/>
      </c>
      <c r="AU146" t="inlineStr">
        <is>
          <t>836678137:eng</t>
        </is>
      </c>
      <c r="AV146" t="inlineStr">
        <is>
          <t>6788880</t>
        </is>
      </c>
      <c r="AW146" t="inlineStr">
        <is>
          <t>991005039739702656</t>
        </is>
      </c>
      <c r="AX146" t="inlineStr">
        <is>
          <t>991005039739702656</t>
        </is>
      </c>
      <c r="AY146" t="inlineStr">
        <is>
          <t>2263493360002656</t>
        </is>
      </c>
      <c r="AZ146" t="inlineStr">
        <is>
          <t>BOOK</t>
        </is>
      </c>
      <c r="BB146" t="inlineStr">
        <is>
          <t>9780812277975</t>
        </is>
      </c>
      <c r="BC146" t="inlineStr">
        <is>
          <t>32285000860634</t>
        </is>
      </c>
      <c r="BD146" t="inlineStr">
        <is>
          <t>893332317</t>
        </is>
      </c>
    </row>
    <row r="147">
      <c r="A147" t="inlineStr">
        <is>
          <t>No</t>
        </is>
      </c>
      <c r="B147" t="inlineStr">
        <is>
          <t>BF1563 .W56</t>
        </is>
      </c>
      <c r="C147" t="inlineStr">
        <is>
          <t>0                      BF 1563000W  56</t>
        </is>
      </c>
      <c r="D147" t="inlineStr">
        <is>
          <t>Witchcraft confessions &amp; accusations / edited by Mary Douglas.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L147" t="inlineStr">
        <is>
          <t>London ; New York : Tavistock Publications, [1970]</t>
        </is>
      </c>
      <c r="M147" t="inlineStr">
        <is>
          <t>1970</t>
        </is>
      </c>
      <c r="O147" t="inlineStr">
        <is>
          <t>eng</t>
        </is>
      </c>
      <c r="P147" t="inlineStr">
        <is>
          <t>enk</t>
        </is>
      </c>
      <c r="Q147" t="inlineStr">
        <is>
          <t>A.S.A. monographs ; 9</t>
        </is>
      </c>
      <c r="R147" t="inlineStr">
        <is>
          <t xml:space="preserve">BF </t>
        </is>
      </c>
      <c r="S147" t="n">
        <v>7</v>
      </c>
      <c r="T147" t="n">
        <v>7</v>
      </c>
      <c r="U147" t="inlineStr">
        <is>
          <t>2010-12-06</t>
        </is>
      </c>
      <c r="V147" t="inlineStr">
        <is>
          <t>2010-12-06</t>
        </is>
      </c>
      <c r="W147" t="inlineStr">
        <is>
          <t>1990-05-08</t>
        </is>
      </c>
      <c r="X147" t="inlineStr">
        <is>
          <t>1990-05-08</t>
        </is>
      </c>
      <c r="Y147" t="n">
        <v>701</v>
      </c>
      <c r="Z147" t="n">
        <v>504</v>
      </c>
      <c r="AA147" t="n">
        <v>517</v>
      </c>
      <c r="AB147" t="n">
        <v>3</v>
      </c>
      <c r="AC147" t="n">
        <v>3</v>
      </c>
      <c r="AD147" t="n">
        <v>22</v>
      </c>
      <c r="AE147" t="n">
        <v>22</v>
      </c>
      <c r="AF147" t="n">
        <v>8</v>
      </c>
      <c r="AG147" t="n">
        <v>8</v>
      </c>
      <c r="AH147" t="n">
        <v>6</v>
      </c>
      <c r="AI147" t="n">
        <v>6</v>
      </c>
      <c r="AJ147" t="n">
        <v>11</v>
      </c>
      <c r="AK147" t="n">
        <v>11</v>
      </c>
      <c r="AL147" t="n">
        <v>2</v>
      </c>
      <c r="AM147" t="n">
        <v>2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HYPERLINK("http://catalog.hathitrust.org/Record/000001295","HathiTrust Record")</f>
        <v/>
      </c>
      <c r="AS147">
        <f>HYPERLINK("https://creighton-primo.hosted.exlibrisgroup.com/primo-explore/search?tab=default_tab&amp;search_scope=EVERYTHING&amp;vid=01CRU&amp;lang=en_US&amp;offset=0&amp;query=any,contains,991000576769702656","Catalog Record")</f>
        <v/>
      </c>
      <c r="AT147">
        <f>HYPERLINK("http://www.worldcat.org/oclc/94954","WorldCat Record")</f>
        <v/>
      </c>
      <c r="AU147" t="inlineStr">
        <is>
          <t>346767780:eng</t>
        </is>
      </c>
      <c r="AV147" t="inlineStr">
        <is>
          <t>94954</t>
        </is>
      </c>
      <c r="AW147" t="inlineStr">
        <is>
          <t>991000576769702656</t>
        </is>
      </c>
      <c r="AX147" t="inlineStr">
        <is>
          <t>991000576769702656</t>
        </is>
      </c>
      <c r="AY147" t="inlineStr">
        <is>
          <t>2270872490002656</t>
        </is>
      </c>
      <c r="AZ147" t="inlineStr">
        <is>
          <t>BOOK</t>
        </is>
      </c>
      <c r="BB147" t="inlineStr">
        <is>
          <t>9780422732000</t>
        </is>
      </c>
      <c r="BC147" t="inlineStr">
        <is>
          <t>32285000129428</t>
        </is>
      </c>
      <c r="BD147" t="inlineStr">
        <is>
          <t>893796796</t>
        </is>
      </c>
    </row>
    <row r="148">
      <c r="A148" t="inlineStr">
        <is>
          <t>No</t>
        </is>
      </c>
      <c r="B148" t="inlineStr">
        <is>
          <t>BF1566 .C313</t>
        </is>
      </c>
      <c r="C148" t="inlineStr">
        <is>
          <t>0                      BF 1566000C  313</t>
        </is>
      </c>
      <c r="D148" t="inlineStr">
        <is>
          <t>The world of the witches. Translated by O.N.V. Glendinning.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Caro Baroja, Julio.</t>
        </is>
      </c>
      <c r="L148" t="inlineStr">
        <is>
          <t>Chicago, Ill., University of Chicago Press [1964]</t>
        </is>
      </c>
      <c r="M148" t="inlineStr">
        <is>
          <t>1964</t>
        </is>
      </c>
      <c r="O148" t="inlineStr">
        <is>
          <t>eng</t>
        </is>
      </c>
      <c r="P148" t="inlineStr">
        <is>
          <t>ilu</t>
        </is>
      </c>
      <c r="Q148" t="inlineStr">
        <is>
          <t>The Nature of human society series</t>
        </is>
      </c>
      <c r="R148" t="inlineStr">
        <is>
          <t xml:space="preserve">BF </t>
        </is>
      </c>
      <c r="S148" t="n">
        <v>6</v>
      </c>
      <c r="T148" t="n">
        <v>6</v>
      </c>
      <c r="U148" t="inlineStr">
        <is>
          <t>2004-11-08</t>
        </is>
      </c>
      <c r="V148" t="inlineStr">
        <is>
          <t>2004-11-08</t>
        </is>
      </c>
      <c r="W148" t="inlineStr">
        <is>
          <t>1996-08-07</t>
        </is>
      </c>
      <c r="X148" t="inlineStr">
        <is>
          <t>1996-08-07</t>
        </is>
      </c>
      <c r="Y148" t="n">
        <v>504</v>
      </c>
      <c r="Z148" t="n">
        <v>446</v>
      </c>
      <c r="AA148" t="n">
        <v>796</v>
      </c>
      <c r="AB148" t="n">
        <v>4</v>
      </c>
      <c r="AC148" t="n">
        <v>9</v>
      </c>
      <c r="AD148" t="n">
        <v>20</v>
      </c>
      <c r="AE148" t="n">
        <v>35</v>
      </c>
      <c r="AF148" t="n">
        <v>8</v>
      </c>
      <c r="AG148" t="n">
        <v>12</v>
      </c>
      <c r="AH148" t="n">
        <v>4</v>
      </c>
      <c r="AI148" t="n">
        <v>7</v>
      </c>
      <c r="AJ148" t="n">
        <v>9</v>
      </c>
      <c r="AK148" t="n">
        <v>17</v>
      </c>
      <c r="AL148" t="n">
        <v>3</v>
      </c>
      <c r="AM148" t="n">
        <v>6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HYPERLINK("http://catalog.hathitrust.org/Record/006811721","HathiTrust Record")</f>
        <v/>
      </c>
      <c r="AS148">
        <f>HYPERLINK("https://creighton-primo.hosted.exlibrisgroup.com/primo-explore/search?tab=default_tab&amp;search_scope=EVERYTHING&amp;vid=01CRU&amp;lang=en_US&amp;offset=0&amp;query=any,contains,991001369319702656","Catalog Record")</f>
        <v/>
      </c>
      <c r="AT148">
        <f>HYPERLINK("http://www.worldcat.org/oclc/223049","WorldCat Record")</f>
        <v/>
      </c>
      <c r="AU148" t="inlineStr">
        <is>
          <t>417865:eng</t>
        </is>
      </c>
      <c r="AV148" t="inlineStr">
        <is>
          <t>223049</t>
        </is>
      </c>
      <c r="AW148" t="inlineStr">
        <is>
          <t>991001369319702656</t>
        </is>
      </c>
      <c r="AX148" t="inlineStr">
        <is>
          <t>991001369319702656</t>
        </is>
      </c>
      <c r="AY148" t="inlineStr">
        <is>
          <t>2262274370002656</t>
        </is>
      </c>
      <c r="AZ148" t="inlineStr">
        <is>
          <t>BOOK</t>
        </is>
      </c>
      <c r="BC148" t="inlineStr">
        <is>
          <t>32285002258191</t>
        </is>
      </c>
      <c r="BD148" t="inlineStr">
        <is>
          <t>893615013</t>
        </is>
      </c>
    </row>
    <row r="149">
      <c r="A149" t="inlineStr">
        <is>
          <t>No</t>
        </is>
      </c>
      <c r="B149" t="inlineStr">
        <is>
          <t>BF1581 .B7 1977</t>
        </is>
      </c>
      <c r="C149" t="inlineStr">
        <is>
          <t>0                      BF 1581000B  7           1977</t>
        </is>
      </c>
      <c r="D149" t="inlineStr">
        <is>
          <t>Pale Hecate's team / Katharine Mary Briggs. --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Briggs, Katharine Mary.</t>
        </is>
      </c>
      <c r="L149" t="inlineStr">
        <is>
          <t>New York : Arno Press, 1977, c1962.</t>
        </is>
      </c>
      <c r="M149" t="inlineStr">
        <is>
          <t>1977</t>
        </is>
      </c>
      <c r="O149" t="inlineStr">
        <is>
          <t>eng</t>
        </is>
      </c>
      <c r="P149" t="inlineStr">
        <is>
          <t>nyu</t>
        </is>
      </c>
      <c r="Q149" t="inlineStr">
        <is>
          <t>International folklore</t>
        </is>
      </c>
      <c r="R149" t="inlineStr">
        <is>
          <t xml:space="preserve">BF </t>
        </is>
      </c>
      <c r="S149" t="n">
        <v>4</v>
      </c>
      <c r="T149" t="n">
        <v>4</v>
      </c>
      <c r="U149" t="inlineStr">
        <is>
          <t>2000-02-17</t>
        </is>
      </c>
      <c r="V149" t="inlineStr">
        <is>
          <t>2000-02-17</t>
        </is>
      </c>
      <c r="W149" t="inlineStr">
        <is>
          <t>1993-04-13</t>
        </is>
      </c>
      <c r="X149" t="inlineStr">
        <is>
          <t>1993-04-13</t>
        </is>
      </c>
      <c r="Y149" t="n">
        <v>83</v>
      </c>
      <c r="Z149" t="n">
        <v>72</v>
      </c>
      <c r="AA149" t="n">
        <v>532</v>
      </c>
      <c r="AB149" t="n">
        <v>1</v>
      </c>
      <c r="AC149" t="n">
        <v>6</v>
      </c>
      <c r="AD149" t="n">
        <v>2</v>
      </c>
      <c r="AE149" t="n">
        <v>24</v>
      </c>
      <c r="AF149" t="n">
        <v>1</v>
      </c>
      <c r="AG149" t="n">
        <v>8</v>
      </c>
      <c r="AH149" t="n">
        <v>1</v>
      </c>
      <c r="AI149" t="n">
        <v>3</v>
      </c>
      <c r="AJ149" t="n">
        <v>1</v>
      </c>
      <c r="AK149" t="n">
        <v>15</v>
      </c>
      <c r="AL149" t="n">
        <v>0</v>
      </c>
      <c r="AM149" t="n">
        <v>4</v>
      </c>
      <c r="AN149" t="n">
        <v>0</v>
      </c>
      <c r="AO149" t="n">
        <v>0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HYPERLINK("http://catalog.hathitrust.org/Record/007046390","HathiTrust Record")</f>
        <v/>
      </c>
      <c r="AS149">
        <f>HYPERLINK("https://creighton-primo.hosted.exlibrisgroup.com/primo-explore/search?tab=default_tab&amp;search_scope=EVERYTHING&amp;vid=01CRU&amp;lang=en_US&amp;offset=0&amp;query=any,contains,991004271209702656","Catalog Record")</f>
        <v/>
      </c>
      <c r="AT149">
        <f>HYPERLINK("http://www.worldcat.org/oclc/2876092","WorldCat Record")</f>
        <v/>
      </c>
      <c r="AU149" t="inlineStr">
        <is>
          <t>366020059:eng</t>
        </is>
      </c>
      <c r="AV149" t="inlineStr">
        <is>
          <t>2876092</t>
        </is>
      </c>
      <c r="AW149" t="inlineStr">
        <is>
          <t>991004271209702656</t>
        </is>
      </c>
      <c r="AX149" t="inlineStr">
        <is>
          <t>991004271209702656</t>
        </is>
      </c>
      <c r="AY149" t="inlineStr">
        <is>
          <t>2257844330002656</t>
        </is>
      </c>
      <c r="AZ149" t="inlineStr">
        <is>
          <t>BOOK</t>
        </is>
      </c>
      <c r="BB149" t="inlineStr">
        <is>
          <t>9780405100833</t>
        </is>
      </c>
      <c r="BC149" t="inlineStr">
        <is>
          <t>32285001618007</t>
        </is>
      </c>
      <c r="BD149" t="inlineStr">
        <is>
          <t>893229137</t>
        </is>
      </c>
    </row>
    <row r="150">
      <c r="A150" t="inlineStr">
        <is>
          <t>No</t>
        </is>
      </c>
      <c r="B150" t="inlineStr">
        <is>
          <t>BF1581 .D3 1972</t>
        </is>
      </c>
      <c r="C150" t="inlineStr">
        <is>
          <t>0                      BF 1581000D  3           1972</t>
        </is>
      </c>
      <c r="D150" t="inlineStr">
        <is>
          <t>Four centuries of witch-beliefs : with special reference to the Great Rebellion / by R. Trevor Davies.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Davies, R. Trevor (Reginald Trevor)</t>
        </is>
      </c>
      <c r="L150" t="inlineStr">
        <is>
          <t>New York : B. Blom, 1972.</t>
        </is>
      </c>
      <c r="M150" t="inlineStr">
        <is>
          <t>1972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BF </t>
        </is>
      </c>
      <c r="S150" t="n">
        <v>12</v>
      </c>
      <c r="T150" t="n">
        <v>12</v>
      </c>
      <c r="U150" t="inlineStr">
        <is>
          <t>1999-09-14</t>
        </is>
      </c>
      <c r="V150" t="inlineStr">
        <is>
          <t>1999-09-14</t>
        </is>
      </c>
      <c r="W150" t="inlineStr">
        <is>
          <t>1990-10-01</t>
        </is>
      </c>
      <c r="X150" t="inlineStr">
        <is>
          <t>1990-10-01</t>
        </is>
      </c>
      <c r="Y150" t="n">
        <v>212</v>
      </c>
      <c r="Z150" t="n">
        <v>193</v>
      </c>
      <c r="AA150" t="n">
        <v>322</v>
      </c>
      <c r="AB150" t="n">
        <v>2</v>
      </c>
      <c r="AC150" t="n">
        <v>3</v>
      </c>
      <c r="AD150" t="n">
        <v>9</v>
      </c>
      <c r="AE150" t="n">
        <v>11</v>
      </c>
      <c r="AF150" t="n">
        <v>4</v>
      </c>
      <c r="AG150" t="n">
        <v>4</v>
      </c>
      <c r="AH150" t="n">
        <v>0</v>
      </c>
      <c r="AI150" t="n">
        <v>1</v>
      </c>
      <c r="AJ150" t="n">
        <v>4</v>
      </c>
      <c r="AK150" t="n">
        <v>4</v>
      </c>
      <c r="AL150" t="n">
        <v>1</v>
      </c>
      <c r="AM150" t="n">
        <v>2</v>
      </c>
      <c r="AN150" t="n">
        <v>1</v>
      </c>
      <c r="AO150" t="n">
        <v>1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HYPERLINK("http://catalog.hathitrust.org/Record/102071666","HathiTrust Record")</f>
        <v/>
      </c>
      <c r="AS150">
        <f>HYPERLINK("https://creighton-primo.hosted.exlibrisgroup.com/primo-explore/search?tab=default_tab&amp;search_scope=EVERYTHING&amp;vid=01CRU&amp;lang=en_US&amp;offset=0&amp;query=any,contains,991002694489702656","Catalog Record")</f>
        <v/>
      </c>
      <c r="AT150">
        <f>HYPERLINK("http://www.worldcat.org/oclc/403000","WorldCat Record")</f>
        <v/>
      </c>
      <c r="AU150" t="inlineStr">
        <is>
          <t>1422493:eng</t>
        </is>
      </c>
      <c r="AV150" t="inlineStr">
        <is>
          <t>403000</t>
        </is>
      </c>
      <c r="AW150" t="inlineStr">
        <is>
          <t>991002694489702656</t>
        </is>
      </c>
      <c r="AX150" t="inlineStr">
        <is>
          <t>991002694489702656</t>
        </is>
      </c>
      <c r="AY150" t="inlineStr">
        <is>
          <t>2265304500002656</t>
        </is>
      </c>
      <c r="AZ150" t="inlineStr">
        <is>
          <t>BOOK</t>
        </is>
      </c>
      <c r="BC150" t="inlineStr">
        <is>
          <t>32285000323179</t>
        </is>
      </c>
      <c r="BD150" t="inlineStr">
        <is>
          <t>893352470</t>
        </is>
      </c>
    </row>
    <row r="151">
      <c r="A151" t="inlineStr">
        <is>
          <t>No</t>
        </is>
      </c>
      <c r="B151" t="inlineStr">
        <is>
          <t>BF1581 .K58 1972</t>
        </is>
      </c>
      <c r="C151" t="inlineStr">
        <is>
          <t>0                      BF 1581000K  58          1972</t>
        </is>
      </c>
      <c r="D151" t="inlineStr">
        <is>
          <t>Witchcraft in Old and New England / by George Lyman Kittredge.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Kittredge, George Lyman, 1860-1941.</t>
        </is>
      </c>
      <c r="L151" t="inlineStr">
        <is>
          <t>New York : Atheneum, 1972, c1957.</t>
        </is>
      </c>
      <c r="M151" t="inlineStr">
        <is>
          <t>1972</t>
        </is>
      </c>
      <c r="N151" t="inlineStr">
        <is>
          <t>College ed.</t>
        </is>
      </c>
      <c r="O151" t="inlineStr">
        <is>
          <t>eng</t>
        </is>
      </c>
      <c r="P151" t="inlineStr">
        <is>
          <t>nyu</t>
        </is>
      </c>
      <c r="Q151" t="inlineStr">
        <is>
          <t>Atheneum ; 186</t>
        </is>
      </c>
      <c r="R151" t="inlineStr">
        <is>
          <t xml:space="preserve">BF </t>
        </is>
      </c>
      <c r="S151" t="n">
        <v>11</v>
      </c>
      <c r="T151" t="n">
        <v>11</v>
      </c>
      <c r="U151" t="inlineStr">
        <is>
          <t>1994-03-08</t>
        </is>
      </c>
      <c r="V151" t="inlineStr">
        <is>
          <t>1994-03-08</t>
        </is>
      </c>
      <c r="W151" t="inlineStr">
        <is>
          <t>1992-03-13</t>
        </is>
      </c>
      <c r="X151" t="inlineStr">
        <is>
          <t>1992-03-13</t>
        </is>
      </c>
      <c r="Y151" t="n">
        <v>116</v>
      </c>
      <c r="Z151" t="n">
        <v>102</v>
      </c>
      <c r="AA151" t="n">
        <v>1089</v>
      </c>
      <c r="AB151" t="n">
        <v>3</v>
      </c>
      <c r="AC151" t="n">
        <v>10</v>
      </c>
      <c r="AD151" t="n">
        <v>4</v>
      </c>
      <c r="AE151" t="n">
        <v>47</v>
      </c>
      <c r="AF151" t="n">
        <v>1</v>
      </c>
      <c r="AG151" t="n">
        <v>18</v>
      </c>
      <c r="AH151" t="n">
        <v>0</v>
      </c>
      <c r="AI151" t="n">
        <v>9</v>
      </c>
      <c r="AJ151" t="n">
        <v>1</v>
      </c>
      <c r="AK151" t="n">
        <v>21</v>
      </c>
      <c r="AL151" t="n">
        <v>2</v>
      </c>
      <c r="AM151" t="n">
        <v>8</v>
      </c>
      <c r="AN151" t="n">
        <v>0</v>
      </c>
      <c r="AO151" t="n">
        <v>1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HYPERLINK("https://creighton-primo.hosted.exlibrisgroup.com/primo-explore/search?tab=default_tab&amp;search_scope=EVERYTHING&amp;vid=01CRU&amp;lang=en_US&amp;offset=0&amp;query=any,contains,991003753689702656","Catalog Record")</f>
        <v/>
      </c>
      <c r="AT151">
        <f>HYPERLINK("http://www.worldcat.org/oclc/1432768","WorldCat Record")</f>
        <v/>
      </c>
      <c r="AU151" t="inlineStr">
        <is>
          <t>438910:eng</t>
        </is>
      </c>
      <c r="AV151" t="inlineStr">
        <is>
          <t>1432768</t>
        </is>
      </c>
      <c r="AW151" t="inlineStr">
        <is>
          <t>991003753689702656</t>
        </is>
      </c>
      <c r="AX151" t="inlineStr">
        <is>
          <t>991003753689702656</t>
        </is>
      </c>
      <c r="AY151" t="inlineStr">
        <is>
          <t>2268875290002656</t>
        </is>
      </c>
      <c r="AZ151" t="inlineStr">
        <is>
          <t>BOOK</t>
        </is>
      </c>
      <c r="BC151" t="inlineStr">
        <is>
          <t>32285000999986</t>
        </is>
      </c>
      <c r="BD151" t="inlineStr">
        <is>
          <t>893592856</t>
        </is>
      </c>
    </row>
    <row r="152">
      <c r="A152" t="inlineStr">
        <is>
          <t>No</t>
        </is>
      </c>
      <c r="B152" t="inlineStr">
        <is>
          <t>BF1581 .L275 1981b</t>
        </is>
      </c>
      <c r="C152" t="inlineStr">
        <is>
          <t>0                      BF 1581000L  275         1981b</t>
        </is>
      </c>
      <c r="D152" t="inlineStr">
        <is>
          <t>Enemies of God : the witch-hunt in Scotland / Christina Larner ; with a foreword by Norman Cohn.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Larner, Christina.</t>
        </is>
      </c>
      <c r="L152" t="inlineStr">
        <is>
          <t>Baltimore, Md. : Johns Hopkins University Press, c1981.</t>
        </is>
      </c>
      <c r="M152" t="inlineStr">
        <is>
          <t>1981</t>
        </is>
      </c>
      <c r="O152" t="inlineStr">
        <is>
          <t>eng</t>
        </is>
      </c>
      <c r="P152" t="inlineStr">
        <is>
          <t>mdu</t>
        </is>
      </c>
      <c r="R152" t="inlineStr">
        <is>
          <t xml:space="preserve">BF </t>
        </is>
      </c>
      <c r="S152" t="n">
        <v>6</v>
      </c>
      <c r="T152" t="n">
        <v>6</v>
      </c>
      <c r="U152" t="inlineStr">
        <is>
          <t>2004-09-28</t>
        </is>
      </c>
      <c r="V152" t="inlineStr">
        <is>
          <t>2004-09-28</t>
        </is>
      </c>
      <c r="W152" t="inlineStr">
        <is>
          <t>1992-04-01</t>
        </is>
      </c>
      <c r="X152" t="inlineStr">
        <is>
          <t>1992-04-01</t>
        </is>
      </c>
      <c r="Y152" t="n">
        <v>502</v>
      </c>
      <c r="Z152" t="n">
        <v>455</v>
      </c>
      <c r="AA152" t="n">
        <v>567</v>
      </c>
      <c r="AB152" t="n">
        <v>4</v>
      </c>
      <c r="AC152" t="n">
        <v>5</v>
      </c>
      <c r="AD152" t="n">
        <v>22</v>
      </c>
      <c r="AE152" t="n">
        <v>25</v>
      </c>
      <c r="AF152" t="n">
        <v>7</v>
      </c>
      <c r="AG152" t="n">
        <v>9</v>
      </c>
      <c r="AH152" t="n">
        <v>7</v>
      </c>
      <c r="AI152" t="n">
        <v>7</v>
      </c>
      <c r="AJ152" t="n">
        <v>10</v>
      </c>
      <c r="AK152" t="n">
        <v>11</v>
      </c>
      <c r="AL152" t="n">
        <v>3</v>
      </c>
      <c r="AM152" t="n">
        <v>4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HYPERLINK("https://creighton-primo.hosted.exlibrisgroup.com/primo-explore/search?tab=default_tab&amp;search_scope=EVERYTHING&amp;vid=01CRU&amp;lang=en_US&amp;offset=0&amp;query=any,contains,991005175589702656","Catalog Record")</f>
        <v/>
      </c>
      <c r="AT152">
        <f>HYPERLINK("http://www.worldcat.org/oclc/7920792","WorldCat Record")</f>
        <v/>
      </c>
      <c r="AU152" t="inlineStr">
        <is>
          <t>257414:eng</t>
        </is>
      </c>
      <c r="AV152" t="inlineStr">
        <is>
          <t>7920792</t>
        </is>
      </c>
      <c r="AW152" t="inlineStr">
        <is>
          <t>991005175589702656</t>
        </is>
      </c>
      <c r="AX152" t="inlineStr">
        <is>
          <t>991005175589702656</t>
        </is>
      </c>
      <c r="AY152" t="inlineStr">
        <is>
          <t>2257640170002656</t>
        </is>
      </c>
      <c r="AZ152" t="inlineStr">
        <is>
          <t>BOOK</t>
        </is>
      </c>
      <c r="BC152" t="inlineStr">
        <is>
          <t>32285001047025</t>
        </is>
      </c>
      <c r="BD152" t="inlineStr">
        <is>
          <t>893332538</t>
        </is>
      </c>
    </row>
    <row r="153">
      <c r="A153" t="inlineStr">
        <is>
          <t>No</t>
        </is>
      </c>
      <c r="B153" t="inlineStr">
        <is>
          <t>BF1583 .M5</t>
        </is>
      </c>
      <c r="C153" t="inlineStr">
        <is>
          <t>0                      BF 1583000M  5</t>
        </is>
      </c>
      <c r="D153" t="inlineStr">
        <is>
          <t>Witch hunting in southwestern Germany, 1562-1684 : the social and intellectual foundations / [by] H.C. Erik Midelfort.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Midelfort, H. C. Erik.</t>
        </is>
      </c>
      <c r="L153" t="inlineStr">
        <is>
          <t>Stanford, Calif. : Stanford University Press, 1972.</t>
        </is>
      </c>
      <c r="M153" t="inlineStr">
        <is>
          <t>1972</t>
        </is>
      </c>
      <c r="O153" t="inlineStr">
        <is>
          <t>eng</t>
        </is>
      </c>
      <c r="P153" t="inlineStr">
        <is>
          <t>cau</t>
        </is>
      </c>
      <c r="R153" t="inlineStr">
        <is>
          <t xml:space="preserve">BF </t>
        </is>
      </c>
      <c r="S153" t="n">
        <v>6</v>
      </c>
      <c r="T153" t="n">
        <v>6</v>
      </c>
      <c r="U153" t="inlineStr">
        <is>
          <t>2002-06-14</t>
        </is>
      </c>
      <c r="V153" t="inlineStr">
        <is>
          <t>2002-06-14</t>
        </is>
      </c>
      <c r="W153" t="inlineStr">
        <is>
          <t>1992-03-23</t>
        </is>
      </c>
      <c r="X153" t="inlineStr">
        <is>
          <t>1992-03-23</t>
        </is>
      </c>
      <c r="Y153" t="n">
        <v>737</v>
      </c>
      <c r="Z153" t="n">
        <v>569</v>
      </c>
      <c r="AA153" t="n">
        <v>574</v>
      </c>
      <c r="AB153" t="n">
        <v>5</v>
      </c>
      <c r="AC153" t="n">
        <v>5</v>
      </c>
      <c r="AD153" t="n">
        <v>28</v>
      </c>
      <c r="AE153" t="n">
        <v>28</v>
      </c>
      <c r="AF153" t="n">
        <v>9</v>
      </c>
      <c r="AG153" t="n">
        <v>9</v>
      </c>
      <c r="AH153" t="n">
        <v>4</v>
      </c>
      <c r="AI153" t="n">
        <v>4</v>
      </c>
      <c r="AJ153" t="n">
        <v>17</v>
      </c>
      <c r="AK153" t="n">
        <v>17</v>
      </c>
      <c r="AL153" t="n">
        <v>4</v>
      </c>
      <c r="AM153" t="n">
        <v>4</v>
      </c>
      <c r="AN153" t="n">
        <v>0</v>
      </c>
      <c r="AO153" t="n">
        <v>0</v>
      </c>
      <c r="AP153" t="inlineStr">
        <is>
          <t>No</t>
        </is>
      </c>
      <c r="AQ153" t="inlineStr">
        <is>
          <t>No</t>
        </is>
      </c>
      <c r="AS153">
        <f>HYPERLINK("https://creighton-primo.hosted.exlibrisgroup.com/primo-explore/search?tab=default_tab&amp;search_scope=EVERYTHING&amp;vid=01CRU&amp;lang=en_US&amp;offset=0&amp;query=any,contains,991002855239702656","Catalog Record")</f>
        <v/>
      </c>
      <c r="AT153">
        <f>HYPERLINK("http://www.worldcat.org/oclc/489429","WorldCat Record")</f>
        <v/>
      </c>
      <c r="AU153" t="inlineStr">
        <is>
          <t>211776352:eng</t>
        </is>
      </c>
      <c r="AV153" t="inlineStr">
        <is>
          <t>489429</t>
        </is>
      </c>
      <c r="AW153" t="inlineStr">
        <is>
          <t>991002855239702656</t>
        </is>
      </c>
      <c r="AX153" t="inlineStr">
        <is>
          <t>991002855239702656</t>
        </is>
      </c>
      <c r="AY153" t="inlineStr">
        <is>
          <t>2255741740002656</t>
        </is>
      </c>
      <c r="AZ153" t="inlineStr">
        <is>
          <t>BOOK</t>
        </is>
      </c>
      <c r="BB153" t="inlineStr">
        <is>
          <t>9780804708050</t>
        </is>
      </c>
      <c r="BC153" t="inlineStr">
        <is>
          <t>32285001026524</t>
        </is>
      </c>
      <c r="BD153" t="inlineStr">
        <is>
          <t>893893083</t>
        </is>
      </c>
    </row>
    <row r="154">
      <c r="A154" t="inlineStr">
        <is>
          <t>No</t>
        </is>
      </c>
      <c r="B154" t="inlineStr">
        <is>
          <t>BF1584.E9 C63</t>
        </is>
      </c>
      <c r="C154" t="inlineStr">
        <is>
          <t>0                      BF 1584000E  9                  C  63</t>
        </is>
      </c>
      <c r="D154" t="inlineStr">
        <is>
          <t>Europe's inner demons : an enquiry inspired by the great witch-hunt / Norman Cohn.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Cohn, Norman, 1915-2007.</t>
        </is>
      </c>
      <c r="L154" t="inlineStr">
        <is>
          <t>New York : Basic Books, [1975]</t>
        </is>
      </c>
      <c r="M154" t="inlineStr">
        <is>
          <t>1975</t>
        </is>
      </c>
      <c r="O154" t="inlineStr">
        <is>
          <t>eng</t>
        </is>
      </c>
      <c r="P154" t="inlineStr">
        <is>
          <t>nyu</t>
        </is>
      </c>
      <c r="Q154" t="inlineStr">
        <is>
          <t>Columbus Centre series</t>
        </is>
      </c>
      <c r="R154" t="inlineStr">
        <is>
          <t xml:space="preserve">BF </t>
        </is>
      </c>
      <c r="S154" t="n">
        <v>8</v>
      </c>
      <c r="T154" t="n">
        <v>8</v>
      </c>
      <c r="U154" t="inlineStr">
        <is>
          <t>2007-08-29</t>
        </is>
      </c>
      <c r="V154" t="inlineStr">
        <is>
          <t>2007-08-29</t>
        </is>
      </c>
      <c r="W154" t="inlineStr">
        <is>
          <t>1990-10-01</t>
        </is>
      </c>
      <c r="X154" t="inlineStr">
        <is>
          <t>1990-10-01</t>
        </is>
      </c>
      <c r="Y154" t="n">
        <v>663</v>
      </c>
      <c r="Z154" t="n">
        <v>618</v>
      </c>
      <c r="AA154" t="n">
        <v>757</v>
      </c>
      <c r="AB154" t="n">
        <v>4</v>
      </c>
      <c r="AC154" t="n">
        <v>5</v>
      </c>
      <c r="AD154" t="n">
        <v>21</v>
      </c>
      <c r="AE154" t="n">
        <v>27</v>
      </c>
      <c r="AF154" t="n">
        <v>5</v>
      </c>
      <c r="AG154" t="n">
        <v>7</v>
      </c>
      <c r="AH154" t="n">
        <v>5</v>
      </c>
      <c r="AI154" t="n">
        <v>6</v>
      </c>
      <c r="AJ154" t="n">
        <v>15</v>
      </c>
      <c r="AK154" t="n">
        <v>17</v>
      </c>
      <c r="AL154" t="n">
        <v>2</v>
      </c>
      <c r="AM154" t="n">
        <v>3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HYPERLINK("http://catalog.hathitrust.org/Record/000030989","HathiTrust Record")</f>
        <v/>
      </c>
      <c r="AS154">
        <f>HYPERLINK("https://creighton-primo.hosted.exlibrisgroup.com/primo-explore/search?tab=default_tab&amp;search_scope=EVERYTHING&amp;vid=01CRU&amp;lang=en_US&amp;offset=0&amp;query=any,contains,991003690229702656","Catalog Record")</f>
        <v/>
      </c>
      <c r="AT154">
        <f>HYPERLINK("http://www.worldcat.org/oclc/1320704","WorldCat Record")</f>
        <v/>
      </c>
      <c r="AU154" t="inlineStr">
        <is>
          <t>2288112125:eng</t>
        </is>
      </c>
      <c r="AV154" t="inlineStr">
        <is>
          <t>1320704</t>
        </is>
      </c>
      <c r="AW154" t="inlineStr">
        <is>
          <t>991003690229702656</t>
        </is>
      </c>
      <c r="AX154" t="inlineStr">
        <is>
          <t>991003690229702656</t>
        </is>
      </c>
      <c r="AY154" t="inlineStr">
        <is>
          <t>2256864800002656</t>
        </is>
      </c>
      <c r="AZ154" t="inlineStr">
        <is>
          <t>BOOK</t>
        </is>
      </c>
      <c r="BB154" t="inlineStr">
        <is>
          <t>9780465021314</t>
        </is>
      </c>
      <c r="BC154" t="inlineStr">
        <is>
          <t>32285000323187</t>
        </is>
      </c>
      <c r="BD154" t="inlineStr">
        <is>
          <t>893258733</t>
        </is>
      </c>
    </row>
    <row r="155">
      <c r="A155" t="inlineStr">
        <is>
          <t>No</t>
        </is>
      </c>
      <c r="B155" t="inlineStr">
        <is>
          <t>BF1584.R5 R4</t>
        </is>
      </c>
      <c r="C155" t="inlineStr">
        <is>
          <t>0                      BF 1584000R  5                  R  4</t>
        </is>
      </c>
      <c r="D155" t="inlineStr">
        <is>
          <t>Magic, divination, and witchcraft among the Barotse of Northern Rhodesia.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Reynolds, Barrie.</t>
        </is>
      </c>
      <c r="L155" t="inlineStr">
        <is>
          <t>Berkeley : University of California Press, 1963.</t>
        </is>
      </c>
      <c r="M155" t="inlineStr">
        <is>
          <t>1963</t>
        </is>
      </c>
      <c r="O155" t="inlineStr">
        <is>
          <t>eng</t>
        </is>
      </c>
      <c r="P155" t="inlineStr">
        <is>
          <t>cau</t>
        </is>
      </c>
      <c r="Q155" t="inlineStr">
        <is>
          <t>Robins series ; no. 3</t>
        </is>
      </c>
      <c r="R155" t="inlineStr">
        <is>
          <t xml:space="preserve">BF </t>
        </is>
      </c>
      <c r="S155" t="n">
        <v>13</v>
      </c>
      <c r="T155" t="n">
        <v>13</v>
      </c>
      <c r="U155" t="inlineStr">
        <is>
          <t>2001-11-20</t>
        </is>
      </c>
      <c r="V155" t="inlineStr">
        <is>
          <t>2001-11-20</t>
        </is>
      </c>
      <c r="W155" t="inlineStr">
        <is>
          <t>1990-10-01</t>
        </is>
      </c>
      <c r="X155" t="inlineStr">
        <is>
          <t>1990-10-01</t>
        </is>
      </c>
      <c r="Y155" t="n">
        <v>530</v>
      </c>
      <c r="Z155" t="n">
        <v>472</v>
      </c>
      <c r="AA155" t="n">
        <v>472</v>
      </c>
      <c r="AB155" t="n">
        <v>3</v>
      </c>
      <c r="AC155" t="n">
        <v>3</v>
      </c>
      <c r="AD155" t="n">
        <v>19</v>
      </c>
      <c r="AE155" t="n">
        <v>19</v>
      </c>
      <c r="AF155" t="n">
        <v>6</v>
      </c>
      <c r="AG155" t="n">
        <v>6</v>
      </c>
      <c r="AH155" t="n">
        <v>6</v>
      </c>
      <c r="AI155" t="n">
        <v>6</v>
      </c>
      <c r="AJ155" t="n">
        <v>11</v>
      </c>
      <c r="AK155" t="n">
        <v>11</v>
      </c>
      <c r="AL155" t="n">
        <v>2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HYPERLINK("https://creighton-primo.hosted.exlibrisgroup.com/primo-explore/search?tab=default_tab&amp;search_scope=EVERYTHING&amp;vid=01CRU&amp;lang=en_US&amp;offset=0&amp;query=any,contains,991001369279702656","Catalog Record")</f>
        <v/>
      </c>
      <c r="AT155">
        <f>HYPERLINK("http://www.worldcat.org/oclc/223042","WorldCat Record")</f>
        <v/>
      </c>
      <c r="AU155" t="inlineStr">
        <is>
          <t>10033093392:eng</t>
        </is>
      </c>
      <c r="AV155" t="inlineStr">
        <is>
          <t>223042</t>
        </is>
      </c>
      <c r="AW155" t="inlineStr">
        <is>
          <t>991001369279702656</t>
        </is>
      </c>
      <c r="AX155" t="inlineStr">
        <is>
          <t>991001369279702656</t>
        </is>
      </c>
      <c r="AY155" t="inlineStr">
        <is>
          <t>2262272770002656</t>
        </is>
      </c>
      <c r="AZ155" t="inlineStr">
        <is>
          <t>BOOK</t>
        </is>
      </c>
      <c r="BC155" t="inlineStr">
        <is>
          <t>32285000323195</t>
        </is>
      </c>
      <c r="BD155" t="inlineStr">
        <is>
          <t>893709205</t>
        </is>
      </c>
    </row>
    <row r="156">
      <c r="A156" t="inlineStr">
        <is>
          <t>No</t>
        </is>
      </c>
      <c r="B156" t="inlineStr">
        <is>
          <t>BF1589 .B8 1948b</t>
        </is>
      </c>
      <c r="C156" t="inlineStr">
        <is>
          <t>0                      BF 1589000B  8           1948b</t>
        </is>
      </c>
      <c r="D156" t="inlineStr">
        <is>
          <t>The myth of the magus / by E. M. Butler.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Butler, E. M. (Eliza Marian), 1885-1959.</t>
        </is>
      </c>
      <c r="L156" t="inlineStr">
        <is>
          <t>Westport, Conn. : Hyperion Press, 1979, c1948.</t>
        </is>
      </c>
      <c r="M156" t="inlineStr">
        <is>
          <t>1979</t>
        </is>
      </c>
      <c r="O156" t="inlineStr">
        <is>
          <t>eng</t>
        </is>
      </c>
      <c r="P156" t="inlineStr">
        <is>
          <t>ctu</t>
        </is>
      </c>
      <c r="R156" t="inlineStr">
        <is>
          <t xml:space="preserve">BF </t>
        </is>
      </c>
      <c r="S156" t="n">
        <v>4</v>
      </c>
      <c r="T156" t="n">
        <v>4</v>
      </c>
      <c r="U156" t="inlineStr">
        <is>
          <t>2002-02-19</t>
        </is>
      </c>
      <c r="V156" t="inlineStr">
        <is>
          <t>2002-02-19</t>
        </is>
      </c>
      <c r="W156" t="inlineStr">
        <is>
          <t>1993-04-13</t>
        </is>
      </c>
      <c r="X156" t="inlineStr">
        <is>
          <t>1993-04-13</t>
        </is>
      </c>
      <c r="Y156" t="n">
        <v>54</v>
      </c>
      <c r="Z156" t="n">
        <v>46</v>
      </c>
      <c r="AA156" t="n">
        <v>527</v>
      </c>
      <c r="AB156" t="n">
        <v>1</v>
      </c>
      <c r="AC156" t="n">
        <v>2</v>
      </c>
      <c r="AD156" t="n">
        <v>0</v>
      </c>
      <c r="AE156" t="n">
        <v>25</v>
      </c>
      <c r="AF156" t="n">
        <v>0</v>
      </c>
      <c r="AG156" t="n">
        <v>15</v>
      </c>
      <c r="AH156" t="n">
        <v>0</v>
      </c>
      <c r="AI156" t="n">
        <v>5</v>
      </c>
      <c r="AJ156" t="n">
        <v>0</v>
      </c>
      <c r="AK156" t="n">
        <v>9</v>
      </c>
      <c r="AL156" t="n">
        <v>0</v>
      </c>
      <c r="AM156" t="n">
        <v>1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HYPERLINK("http://catalog.hathitrust.org/Record/007886223","HathiTrust Record")</f>
        <v/>
      </c>
      <c r="AS156">
        <f>HYPERLINK("https://creighton-primo.hosted.exlibrisgroup.com/primo-explore/search?tab=default_tab&amp;search_scope=EVERYTHING&amp;vid=01CRU&amp;lang=en_US&amp;offset=0&amp;query=any,contains,991004686399702656","Catalog Record")</f>
        <v/>
      </c>
      <c r="AT156">
        <f>HYPERLINK("http://www.worldcat.org/oclc/4593137","WorldCat Record")</f>
        <v/>
      </c>
      <c r="AU156" t="inlineStr">
        <is>
          <t>342732:eng</t>
        </is>
      </c>
      <c r="AV156" t="inlineStr">
        <is>
          <t>4593137</t>
        </is>
      </c>
      <c r="AW156" t="inlineStr">
        <is>
          <t>991004686399702656</t>
        </is>
      </c>
      <c r="AX156" t="inlineStr">
        <is>
          <t>991004686399702656</t>
        </is>
      </c>
      <c r="AY156" t="inlineStr">
        <is>
          <t>2271101640002656</t>
        </is>
      </c>
      <c r="AZ156" t="inlineStr">
        <is>
          <t>BOOK</t>
        </is>
      </c>
      <c r="BB156" t="inlineStr">
        <is>
          <t>9780883557815</t>
        </is>
      </c>
      <c r="BC156" t="inlineStr">
        <is>
          <t>32285001618015</t>
        </is>
      </c>
      <c r="BD156" t="inlineStr">
        <is>
          <t>893618960</t>
        </is>
      </c>
    </row>
    <row r="157">
      <c r="A157" t="inlineStr">
        <is>
          <t>No</t>
        </is>
      </c>
      <c r="B157" t="inlineStr">
        <is>
          <t>BF1589 .L6</t>
        </is>
      </c>
      <c r="C157" t="inlineStr">
        <is>
          <t>0                      BF 1589000L  6</t>
        </is>
      </c>
      <c r="D157" t="inlineStr">
        <is>
          <t>White magic : an introduction to the folklore of Christian legend.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Loomis, C. Grant (Charles Grant), 1901-</t>
        </is>
      </c>
      <c r="L157" t="inlineStr">
        <is>
          <t>Cambridge, Mass. : Mediaeval Academy of America, 1948.</t>
        </is>
      </c>
      <c r="M157" t="inlineStr">
        <is>
          <t>1948</t>
        </is>
      </c>
      <c r="O157" t="inlineStr">
        <is>
          <t>eng</t>
        </is>
      </c>
      <c r="P157" t="inlineStr">
        <is>
          <t>mau</t>
        </is>
      </c>
      <c r="Q157" t="inlineStr">
        <is>
          <t>Mediaeval Academy of America. Publication, no. 52.</t>
        </is>
      </c>
      <c r="R157" t="inlineStr">
        <is>
          <t xml:space="preserve">BF </t>
        </is>
      </c>
      <c r="S157" t="n">
        <v>5</v>
      </c>
      <c r="T157" t="n">
        <v>5</v>
      </c>
      <c r="U157" t="inlineStr">
        <is>
          <t>2007-04-17</t>
        </is>
      </c>
      <c r="V157" t="inlineStr">
        <is>
          <t>2007-04-17</t>
        </is>
      </c>
      <c r="W157" t="inlineStr">
        <is>
          <t>1993-04-27</t>
        </is>
      </c>
      <c r="X157" t="inlineStr">
        <is>
          <t>1993-04-27</t>
        </is>
      </c>
      <c r="Y157" t="n">
        <v>373</v>
      </c>
      <c r="Z157" t="n">
        <v>292</v>
      </c>
      <c r="AA157" t="n">
        <v>299</v>
      </c>
      <c r="AB157" t="n">
        <v>2</v>
      </c>
      <c r="AC157" t="n">
        <v>2</v>
      </c>
      <c r="AD157" t="n">
        <v>25</v>
      </c>
      <c r="AE157" t="n">
        <v>25</v>
      </c>
      <c r="AF157" t="n">
        <v>8</v>
      </c>
      <c r="AG157" t="n">
        <v>8</v>
      </c>
      <c r="AH157" t="n">
        <v>6</v>
      </c>
      <c r="AI157" t="n">
        <v>6</v>
      </c>
      <c r="AJ157" t="n">
        <v>16</v>
      </c>
      <c r="AK157" t="n">
        <v>16</v>
      </c>
      <c r="AL157" t="n">
        <v>1</v>
      </c>
      <c r="AM157" t="n">
        <v>1</v>
      </c>
      <c r="AN157" t="n">
        <v>0</v>
      </c>
      <c r="AO157" t="n">
        <v>0</v>
      </c>
      <c r="AP157" t="inlineStr">
        <is>
          <t>Yes</t>
        </is>
      </c>
      <c r="AQ157" t="inlineStr">
        <is>
          <t>No</t>
        </is>
      </c>
      <c r="AR157">
        <f>HYPERLINK("http://catalog.hathitrust.org/Record/001407173","HathiTrust Record")</f>
        <v/>
      </c>
      <c r="AS157">
        <f>HYPERLINK("https://creighton-primo.hosted.exlibrisgroup.com/primo-explore/search?tab=default_tab&amp;search_scope=EVERYTHING&amp;vid=01CRU&amp;lang=en_US&amp;offset=0&amp;query=any,contains,991003203079702656","Catalog Record")</f>
        <v/>
      </c>
      <c r="AT157">
        <f>HYPERLINK("http://www.worldcat.org/oclc/728122","WorldCat Record")</f>
        <v/>
      </c>
      <c r="AU157" t="inlineStr">
        <is>
          <t>1463815:eng</t>
        </is>
      </c>
      <c r="AV157" t="inlineStr">
        <is>
          <t>728122</t>
        </is>
      </c>
      <c r="AW157" t="inlineStr">
        <is>
          <t>991003203079702656</t>
        </is>
      </c>
      <c r="AX157" t="inlineStr">
        <is>
          <t>991003203079702656</t>
        </is>
      </c>
      <c r="AY157" t="inlineStr">
        <is>
          <t>2262259020002656</t>
        </is>
      </c>
      <c r="AZ157" t="inlineStr">
        <is>
          <t>BOOK</t>
        </is>
      </c>
      <c r="BC157" t="inlineStr">
        <is>
          <t>32285001627941</t>
        </is>
      </c>
      <c r="BD157" t="inlineStr">
        <is>
          <t>893342320</t>
        </is>
      </c>
    </row>
    <row r="158">
      <c r="A158" t="inlineStr">
        <is>
          <t>No</t>
        </is>
      </c>
      <c r="B158" t="inlineStr">
        <is>
          <t>BF161 .B2 1971</t>
        </is>
      </c>
      <c r="C158" t="inlineStr">
        <is>
          <t>0                      BF 0161000B  2           1971</t>
        </is>
      </c>
      <c r="D158" t="inlineStr">
        <is>
          <t>Mind and body; the theories of their relation.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Bain, Alexander, 1818-1903.</t>
        </is>
      </c>
      <c r="L158" t="inlineStr">
        <is>
          <t>London, H. S. King &amp; Co., 1873] Farnborough, Eng., Gregg International, 1971]</t>
        </is>
      </c>
      <c r="M158" t="inlineStr">
        <is>
          <t>1971</t>
        </is>
      </c>
      <c r="N158" t="inlineStr">
        <is>
          <t>2d ed.</t>
        </is>
      </c>
      <c r="O158" t="inlineStr">
        <is>
          <t>eng</t>
        </is>
      </c>
      <c r="P158" t="inlineStr">
        <is>
          <t>enk</t>
        </is>
      </c>
      <c r="R158" t="inlineStr">
        <is>
          <t xml:space="preserve">BF </t>
        </is>
      </c>
      <c r="S158" t="n">
        <v>2</v>
      </c>
      <c r="T158" t="n">
        <v>2</v>
      </c>
      <c r="U158" t="inlineStr">
        <is>
          <t>1996-12-01</t>
        </is>
      </c>
      <c r="V158" t="inlineStr">
        <is>
          <t>1996-12-01</t>
        </is>
      </c>
      <c r="W158" t="inlineStr">
        <is>
          <t>1996-07-24</t>
        </is>
      </c>
      <c r="X158" t="inlineStr">
        <is>
          <t>1996-07-24</t>
        </is>
      </c>
      <c r="Y158" t="n">
        <v>66</v>
      </c>
      <c r="Z158" t="n">
        <v>46</v>
      </c>
      <c r="AA158" t="n">
        <v>334</v>
      </c>
      <c r="AB158" t="n">
        <v>1</v>
      </c>
      <c r="AC158" t="n">
        <v>5</v>
      </c>
      <c r="AD158" t="n">
        <v>3</v>
      </c>
      <c r="AE158" t="n">
        <v>17</v>
      </c>
      <c r="AF158" t="n">
        <v>0</v>
      </c>
      <c r="AG158" t="n">
        <v>3</v>
      </c>
      <c r="AH158" t="n">
        <v>3</v>
      </c>
      <c r="AI158" t="n">
        <v>5</v>
      </c>
      <c r="AJ158" t="n">
        <v>2</v>
      </c>
      <c r="AK158" t="n">
        <v>9</v>
      </c>
      <c r="AL158" t="n">
        <v>0</v>
      </c>
      <c r="AM158" t="n">
        <v>4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HYPERLINK("https://creighton-primo.hosted.exlibrisgroup.com/primo-explore/search?tab=default_tab&amp;search_scope=EVERYTHING&amp;vid=01CRU&amp;lang=en_US&amp;offset=0&amp;query=any,contains,991004378469702656","Catalog Record")</f>
        <v/>
      </c>
      <c r="AT158">
        <f>HYPERLINK("http://www.worldcat.org/oclc/3207658","WorldCat Record")</f>
        <v/>
      </c>
      <c r="AU158" t="inlineStr">
        <is>
          <t>1831154:eng</t>
        </is>
      </c>
      <c r="AV158" t="inlineStr">
        <is>
          <t>3207658</t>
        </is>
      </c>
      <c r="AW158" t="inlineStr">
        <is>
          <t>991004378469702656</t>
        </is>
      </c>
      <c r="AX158" t="inlineStr">
        <is>
          <t>991004378469702656</t>
        </is>
      </c>
      <c r="AY158" t="inlineStr">
        <is>
          <t>2271943070002656</t>
        </is>
      </c>
      <c r="AZ158" t="inlineStr">
        <is>
          <t>BOOK</t>
        </is>
      </c>
      <c r="BB158" t="inlineStr">
        <is>
          <t>9780576292191</t>
        </is>
      </c>
      <c r="BC158" t="inlineStr">
        <is>
          <t>32285002235355</t>
        </is>
      </c>
      <c r="BD158" t="inlineStr">
        <is>
          <t>893500480</t>
        </is>
      </c>
    </row>
    <row r="159">
      <c r="A159" t="inlineStr">
        <is>
          <t>No</t>
        </is>
      </c>
      <c r="B159" t="inlineStr">
        <is>
          <t>BF161 .B48 1980</t>
        </is>
      </c>
      <c r="C159" t="inlineStr">
        <is>
          <t>0                      BF 0161000B  48          1980</t>
        </is>
      </c>
      <c r="D159" t="inlineStr">
        <is>
          <t>Beyond ego : transpersonal dimensions in psychology / edited by Roger N. Walsh and Frances Vaughan.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L159" t="inlineStr">
        <is>
          <t>Los Angeles : J. P. Tarcher ; New York : distributed by St. Martin's Press, c1980.</t>
        </is>
      </c>
      <c r="M159" t="inlineStr">
        <is>
          <t>1980</t>
        </is>
      </c>
      <c r="N159" t="inlineStr">
        <is>
          <t>1st ed.</t>
        </is>
      </c>
      <c r="O159" t="inlineStr">
        <is>
          <t>eng</t>
        </is>
      </c>
      <c r="P159" t="inlineStr">
        <is>
          <t>cau</t>
        </is>
      </c>
      <c r="R159" t="inlineStr">
        <is>
          <t xml:space="preserve">BF </t>
        </is>
      </c>
      <c r="S159" t="n">
        <v>4</v>
      </c>
      <c r="T159" t="n">
        <v>4</v>
      </c>
      <c r="U159" t="inlineStr">
        <is>
          <t>1999-09-15</t>
        </is>
      </c>
      <c r="V159" t="inlineStr">
        <is>
          <t>1999-09-15</t>
        </is>
      </c>
      <c r="W159" t="inlineStr">
        <is>
          <t>1990-04-04</t>
        </is>
      </c>
      <c r="X159" t="inlineStr">
        <is>
          <t>1990-04-04</t>
        </is>
      </c>
      <c r="Y159" t="n">
        <v>363</v>
      </c>
      <c r="Z159" t="n">
        <v>321</v>
      </c>
      <c r="AA159" t="n">
        <v>325</v>
      </c>
      <c r="AB159" t="n">
        <v>2</v>
      </c>
      <c r="AC159" t="n">
        <v>2</v>
      </c>
      <c r="AD159" t="n">
        <v>7</v>
      </c>
      <c r="AE159" t="n">
        <v>7</v>
      </c>
      <c r="AF159" t="n">
        <v>2</v>
      </c>
      <c r="AG159" t="n">
        <v>2</v>
      </c>
      <c r="AH159" t="n">
        <v>1</v>
      </c>
      <c r="AI159" t="n">
        <v>1</v>
      </c>
      <c r="AJ159" t="n">
        <v>3</v>
      </c>
      <c r="AK159" t="n">
        <v>3</v>
      </c>
      <c r="AL159" t="n">
        <v>1</v>
      </c>
      <c r="AM159" t="n">
        <v>1</v>
      </c>
      <c r="AN159" t="n">
        <v>0</v>
      </c>
      <c r="AO159" t="n">
        <v>0</v>
      </c>
      <c r="AP159" t="inlineStr">
        <is>
          <t>No</t>
        </is>
      </c>
      <c r="AQ159" t="inlineStr">
        <is>
          <t>No</t>
        </is>
      </c>
      <c r="AS159">
        <f>HYPERLINK("https://creighton-primo.hosted.exlibrisgroup.com/primo-explore/search?tab=default_tab&amp;search_scope=EVERYTHING&amp;vid=01CRU&amp;lang=en_US&amp;offset=0&amp;query=any,contains,991004983539702656","Catalog Record")</f>
        <v/>
      </c>
      <c r="AT159">
        <f>HYPERLINK("http://www.worldcat.org/oclc/6442853","WorldCat Record")</f>
        <v/>
      </c>
      <c r="AU159" t="inlineStr">
        <is>
          <t>4495114545:eng</t>
        </is>
      </c>
      <c r="AV159" t="inlineStr">
        <is>
          <t>6442853</t>
        </is>
      </c>
      <c r="AW159" t="inlineStr">
        <is>
          <t>991004983539702656</t>
        </is>
      </c>
      <c r="AX159" t="inlineStr">
        <is>
          <t>991004983539702656</t>
        </is>
      </c>
      <c r="AY159" t="inlineStr">
        <is>
          <t>2258022970002656</t>
        </is>
      </c>
      <c r="AZ159" t="inlineStr">
        <is>
          <t>BOOK</t>
        </is>
      </c>
      <c r="BB159" t="inlineStr">
        <is>
          <t>9780312904326</t>
        </is>
      </c>
      <c r="BC159" t="inlineStr">
        <is>
          <t>32285000111327</t>
        </is>
      </c>
      <c r="BD159" t="inlineStr">
        <is>
          <t>893520251</t>
        </is>
      </c>
    </row>
    <row r="160">
      <c r="A160" t="inlineStr">
        <is>
          <t>No</t>
        </is>
      </c>
      <c r="B160" t="inlineStr">
        <is>
          <t>BF161 .B56</t>
        </is>
      </c>
      <c r="C160" t="inlineStr">
        <is>
          <t>0                      BF 0161000B  56</t>
        </is>
      </c>
      <c r="D160" t="inlineStr">
        <is>
          <t>Body and mind : past, present, and future / edited by R. W. Rieber.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L160" t="inlineStr">
        <is>
          <t>New York : Academic Press, 1980.</t>
        </is>
      </c>
      <c r="M160" t="inlineStr">
        <is>
          <t>1980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BF </t>
        </is>
      </c>
      <c r="S160" t="n">
        <v>6</v>
      </c>
      <c r="T160" t="n">
        <v>6</v>
      </c>
      <c r="U160" t="inlineStr">
        <is>
          <t>1997-12-03</t>
        </is>
      </c>
      <c r="V160" t="inlineStr">
        <is>
          <t>1997-12-03</t>
        </is>
      </c>
      <c r="W160" t="inlineStr">
        <is>
          <t>1991-07-16</t>
        </is>
      </c>
      <c r="X160" t="inlineStr">
        <is>
          <t>1991-07-16</t>
        </is>
      </c>
      <c r="Y160" t="n">
        <v>410</v>
      </c>
      <c r="Z160" t="n">
        <v>312</v>
      </c>
      <c r="AA160" t="n">
        <v>319</v>
      </c>
      <c r="AB160" t="n">
        <v>2</v>
      </c>
      <c r="AC160" t="n">
        <v>2</v>
      </c>
      <c r="AD160" t="n">
        <v>16</v>
      </c>
      <c r="AE160" t="n">
        <v>16</v>
      </c>
      <c r="AF160" t="n">
        <v>5</v>
      </c>
      <c r="AG160" t="n">
        <v>5</v>
      </c>
      <c r="AH160" t="n">
        <v>5</v>
      </c>
      <c r="AI160" t="n">
        <v>5</v>
      </c>
      <c r="AJ160" t="n">
        <v>10</v>
      </c>
      <c r="AK160" t="n">
        <v>10</v>
      </c>
      <c r="AL160" t="n">
        <v>1</v>
      </c>
      <c r="AM160" t="n">
        <v>1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HYPERLINK("http://catalog.hathitrust.org/Record/004443827","HathiTrust Record")</f>
        <v/>
      </c>
      <c r="AS160">
        <f>HYPERLINK("https://creighton-primo.hosted.exlibrisgroup.com/primo-explore/search?tab=default_tab&amp;search_scope=EVERYTHING&amp;vid=01CRU&amp;lang=en_US&amp;offset=0&amp;query=any,contains,991004948689702656","Catalog Record")</f>
        <v/>
      </c>
      <c r="AT160">
        <f>HYPERLINK("http://www.worldcat.org/oclc/6223459","WorldCat Record")</f>
        <v/>
      </c>
      <c r="AU160" t="inlineStr">
        <is>
          <t>890329468:eng</t>
        </is>
      </c>
      <c r="AV160" t="inlineStr">
        <is>
          <t>6223459</t>
        </is>
      </c>
      <c r="AW160" t="inlineStr">
        <is>
          <t>991004948689702656</t>
        </is>
      </c>
      <c r="AX160" t="inlineStr">
        <is>
          <t>991004948689702656</t>
        </is>
      </c>
      <c r="AY160" t="inlineStr">
        <is>
          <t>2268579070002656</t>
        </is>
      </c>
      <c r="AZ160" t="inlineStr">
        <is>
          <t>BOOK</t>
        </is>
      </c>
      <c r="BB160" t="inlineStr">
        <is>
          <t>9780125882606</t>
        </is>
      </c>
      <c r="BC160" t="inlineStr">
        <is>
          <t>32285000675602</t>
        </is>
      </c>
      <c r="BD160" t="inlineStr">
        <is>
          <t>893353609</t>
        </is>
      </c>
    </row>
    <row r="161">
      <c r="A161" t="inlineStr">
        <is>
          <t>No</t>
        </is>
      </c>
      <c r="B161" t="inlineStr">
        <is>
          <t>BF161 .B78 1980</t>
        </is>
      </c>
      <c r="C161" t="inlineStr">
        <is>
          <t>0                      BF 0161000B  78          1980</t>
        </is>
      </c>
      <c r="D161" t="inlineStr">
        <is>
          <t>The mind-body problem : a psychobiological approach / by Mario Bunge.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Bunge, Mario, 1919-2020.</t>
        </is>
      </c>
      <c r="L161" t="inlineStr">
        <is>
          <t>Oxford ; New York : Pergamon Press, 1980.</t>
        </is>
      </c>
      <c r="M161" t="inlineStr">
        <is>
          <t>1980</t>
        </is>
      </c>
      <c r="O161" t="inlineStr">
        <is>
          <t>eng</t>
        </is>
      </c>
      <c r="P161" t="inlineStr">
        <is>
          <t>enk</t>
        </is>
      </c>
      <c r="Q161" t="inlineStr">
        <is>
          <t>Foundations and philosophy of science and technology</t>
        </is>
      </c>
      <c r="R161" t="inlineStr">
        <is>
          <t xml:space="preserve">BF </t>
        </is>
      </c>
      <c r="S161" t="n">
        <v>9</v>
      </c>
      <c r="T161" t="n">
        <v>9</v>
      </c>
      <c r="U161" t="inlineStr">
        <is>
          <t>1996-12-01</t>
        </is>
      </c>
      <c r="V161" t="inlineStr">
        <is>
          <t>1996-12-01</t>
        </is>
      </c>
      <c r="W161" t="inlineStr">
        <is>
          <t>1990-08-14</t>
        </is>
      </c>
      <c r="X161" t="inlineStr">
        <is>
          <t>1990-08-14</t>
        </is>
      </c>
      <c r="Y161" t="n">
        <v>529</v>
      </c>
      <c r="Z161" t="n">
        <v>384</v>
      </c>
      <c r="AA161" t="n">
        <v>422</v>
      </c>
      <c r="AB161" t="n">
        <v>6</v>
      </c>
      <c r="AC161" t="n">
        <v>6</v>
      </c>
      <c r="AD161" t="n">
        <v>24</v>
      </c>
      <c r="AE161" t="n">
        <v>26</v>
      </c>
      <c r="AF161" t="n">
        <v>9</v>
      </c>
      <c r="AG161" t="n">
        <v>10</v>
      </c>
      <c r="AH161" t="n">
        <v>4</v>
      </c>
      <c r="AI161" t="n">
        <v>5</v>
      </c>
      <c r="AJ161" t="n">
        <v>14</v>
      </c>
      <c r="AK161" t="n">
        <v>14</v>
      </c>
      <c r="AL161" t="n">
        <v>5</v>
      </c>
      <c r="AM161" t="n">
        <v>5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HYPERLINK("http://catalog.hathitrust.org/Record/000692231","HathiTrust Record")</f>
        <v/>
      </c>
      <c r="AS161">
        <f>HYPERLINK("https://creighton-primo.hosted.exlibrisgroup.com/primo-explore/search?tab=default_tab&amp;search_scope=EVERYTHING&amp;vid=01CRU&amp;lang=en_US&amp;offset=0&amp;query=any,contains,991004807939702656","Catalog Record")</f>
        <v/>
      </c>
      <c r="AT161">
        <f>HYPERLINK("http://www.worldcat.org/oclc/5264198","WorldCat Record")</f>
        <v/>
      </c>
      <c r="AU161" t="inlineStr">
        <is>
          <t>867248123:eng</t>
        </is>
      </c>
      <c r="AV161" t="inlineStr">
        <is>
          <t>5264198</t>
        </is>
      </c>
      <c r="AW161" t="inlineStr">
        <is>
          <t>991004807939702656</t>
        </is>
      </c>
      <c r="AX161" t="inlineStr">
        <is>
          <t>991004807939702656</t>
        </is>
      </c>
      <c r="AY161" t="inlineStr">
        <is>
          <t>2258551580002656</t>
        </is>
      </c>
      <c r="AZ161" t="inlineStr">
        <is>
          <t>BOOK</t>
        </is>
      </c>
      <c r="BB161" t="inlineStr">
        <is>
          <t>9780080247199</t>
        </is>
      </c>
      <c r="BC161" t="inlineStr">
        <is>
          <t>32285000281609</t>
        </is>
      </c>
      <c r="BD161" t="inlineStr">
        <is>
          <t>893722621</t>
        </is>
      </c>
    </row>
    <row r="162">
      <c r="A162" t="inlineStr">
        <is>
          <t>No</t>
        </is>
      </c>
      <c r="B162" t="inlineStr">
        <is>
          <t>BF161 .H23</t>
        </is>
      </c>
      <c r="C162" t="inlineStr">
        <is>
          <t>0                      BF 0161000H  23</t>
        </is>
      </c>
      <c r="D162" t="inlineStr">
        <is>
          <t>Philosophy of mind.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Hampshire, Stuart, 1914-2004 editor.</t>
        </is>
      </c>
      <c r="L162" t="inlineStr">
        <is>
          <t>New York, Harper &amp; Row [1966]</t>
        </is>
      </c>
      <c r="M162" t="inlineStr">
        <is>
          <t>1966</t>
        </is>
      </c>
      <c r="O162" t="inlineStr">
        <is>
          <t>eng</t>
        </is>
      </c>
      <c r="P162" t="inlineStr">
        <is>
          <t>nyu</t>
        </is>
      </c>
      <c r="Q162" t="inlineStr">
        <is>
          <t>Sources in contemporary philosophy</t>
        </is>
      </c>
      <c r="R162" t="inlineStr">
        <is>
          <t xml:space="preserve">BF </t>
        </is>
      </c>
      <c r="S162" t="n">
        <v>3</v>
      </c>
      <c r="T162" t="n">
        <v>3</v>
      </c>
      <c r="U162" t="inlineStr">
        <is>
          <t>2001-03-20</t>
        </is>
      </c>
      <c r="V162" t="inlineStr">
        <is>
          <t>2001-03-20</t>
        </is>
      </c>
      <c r="W162" t="inlineStr">
        <is>
          <t>1996-07-24</t>
        </is>
      </c>
      <c r="X162" t="inlineStr">
        <is>
          <t>1996-07-24</t>
        </is>
      </c>
      <c r="Y162" t="n">
        <v>634</v>
      </c>
      <c r="Z162" t="n">
        <v>491</v>
      </c>
      <c r="AA162" t="n">
        <v>497</v>
      </c>
      <c r="AB162" t="n">
        <v>4</v>
      </c>
      <c r="AC162" t="n">
        <v>4</v>
      </c>
      <c r="AD162" t="n">
        <v>31</v>
      </c>
      <c r="AE162" t="n">
        <v>31</v>
      </c>
      <c r="AF162" t="n">
        <v>13</v>
      </c>
      <c r="AG162" t="n">
        <v>13</v>
      </c>
      <c r="AH162" t="n">
        <v>8</v>
      </c>
      <c r="AI162" t="n">
        <v>8</v>
      </c>
      <c r="AJ162" t="n">
        <v>20</v>
      </c>
      <c r="AK162" t="n">
        <v>20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HYPERLINK("http://catalog.hathitrust.org/Record/000620979","HathiTrust Record")</f>
        <v/>
      </c>
      <c r="AS162">
        <f>HYPERLINK("https://creighton-primo.hosted.exlibrisgroup.com/primo-explore/search?tab=default_tab&amp;search_scope=EVERYTHING&amp;vid=01CRU&amp;lang=en_US&amp;offset=0&amp;query=any,contains,991002158189702656","Catalog Record")</f>
        <v/>
      </c>
      <c r="AT162">
        <f>HYPERLINK("http://www.worldcat.org/oclc/273288","WorldCat Record")</f>
        <v/>
      </c>
      <c r="AU162" t="inlineStr">
        <is>
          <t>1404983:eng</t>
        </is>
      </c>
      <c r="AV162" t="inlineStr">
        <is>
          <t>273288</t>
        </is>
      </c>
      <c r="AW162" t="inlineStr">
        <is>
          <t>991002158189702656</t>
        </is>
      </c>
      <c r="AX162" t="inlineStr">
        <is>
          <t>991002158189702656</t>
        </is>
      </c>
      <c r="AY162" t="inlineStr">
        <is>
          <t>2261999440002656</t>
        </is>
      </c>
      <c r="AZ162" t="inlineStr">
        <is>
          <t>BOOK</t>
        </is>
      </c>
      <c r="BC162" t="inlineStr">
        <is>
          <t>32285002235413</t>
        </is>
      </c>
      <c r="BD162" t="inlineStr">
        <is>
          <t>893697417</t>
        </is>
      </c>
    </row>
    <row r="163">
      <c r="A163" t="inlineStr">
        <is>
          <t>No</t>
        </is>
      </c>
      <c r="B163" t="inlineStr">
        <is>
          <t>BF161 .L28</t>
        </is>
      </c>
      <c r="C163" t="inlineStr">
        <is>
          <t>0                      BF 0161000L  28</t>
        </is>
      </c>
      <c r="D163" t="inlineStr">
        <is>
          <t>Mind : an essay on human feeling / [by] Susanne K. Langer.</t>
        </is>
      </c>
      <c r="E163" t="inlineStr">
        <is>
          <t>V.3</t>
        </is>
      </c>
      <c r="F163" t="inlineStr">
        <is>
          <t>Yes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Langer, Susanne K. (Susanne Katherina Knauth), 1895-1985.</t>
        </is>
      </c>
      <c r="L163" t="inlineStr">
        <is>
          <t>Baltimore : Johns Hopkins Press, [1967]-c1982.</t>
        </is>
      </c>
      <c r="M163" t="inlineStr">
        <is>
          <t>1967</t>
        </is>
      </c>
      <c r="O163" t="inlineStr">
        <is>
          <t>eng</t>
        </is>
      </c>
      <c r="P163" t="inlineStr">
        <is>
          <t>mdu</t>
        </is>
      </c>
      <c r="R163" t="inlineStr">
        <is>
          <t xml:space="preserve">BF </t>
        </is>
      </c>
      <c r="S163" t="n">
        <v>3</v>
      </c>
      <c r="T163" t="n">
        <v>5</v>
      </c>
      <c r="U163" t="inlineStr">
        <is>
          <t>2003-06-13</t>
        </is>
      </c>
      <c r="V163" t="inlineStr">
        <is>
          <t>2003-06-13</t>
        </is>
      </c>
      <c r="W163" t="inlineStr">
        <is>
          <t>1990-08-14</t>
        </is>
      </c>
      <c r="X163" t="inlineStr">
        <is>
          <t>1990-08-14</t>
        </is>
      </c>
      <c r="Y163" t="n">
        <v>1414</v>
      </c>
      <c r="Z163" t="n">
        <v>1248</v>
      </c>
      <c r="AA163" t="n">
        <v>1359</v>
      </c>
      <c r="AB163" t="n">
        <v>6</v>
      </c>
      <c r="AC163" t="n">
        <v>8</v>
      </c>
      <c r="AD163" t="n">
        <v>44</v>
      </c>
      <c r="AE163" t="n">
        <v>47</v>
      </c>
      <c r="AF163" t="n">
        <v>19</v>
      </c>
      <c r="AG163" t="n">
        <v>21</v>
      </c>
      <c r="AH163" t="n">
        <v>10</v>
      </c>
      <c r="AI163" t="n">
        <v>10</v>
      </c>
      <c r="AJ163" t="n">
        <v>23</v>
      </c>
      <c r="AK163" t="n">
        <v>23</v>
      </c>
      <c r="AL163" t="n">
        <v>4</v>
      </c>
      <c r="AM163" t="n">
        <v>5</v>
      </c>
      <c r="AN163" t="n">
        <v>0</v>
      </c>
      <c r="AO163" t="n">
        <v>0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HYPERLINK("http://catalog.hathitrust.org/Record/000313891","HathiTrust Record")</f>
        <v/>
      </c>
      <c r="AS163">
        <f>HYPERLINK("https://creighton-primo.hosted.exlibrisgroup.com/primo-explore/search?tab=default_tab&amp;search_scope=EVERYTHING&amp;vid=01CRU&amp;lang=en_US&amp;offset=0&amp;query=any,contains,991001376109702656","Catalog Record")</f>
        <v/>
      </c>
      <c r="AT163">
        <f>HYPERLINK("http://www.worldcat.org/oclc/224928","WorldCat Record")</f>
        <v/>
      </c>
      <c r="AU163" t="inlineStr">
        <is>
          <t>3901123508:eng</t>
        </is>
      </c>
      <c r="AV163" t="inlineStr">
        <is>
          <t>224928</t>
        </is>
      </c>
      <c r="AW163" t="inlineStr">
        <is>
          <t>991001376109702656</t>
        </is>
      </c>
      <c r="AX163" t="inlineStr">
        <is>
          <t>991001376109702656</t>
        </is>
      </c>
      <c r="AY163" t="inlineStr">
        <is>
          <t>2263613900002656</t>
        </is>
      </c>
      <c r="AZ163" t="inlineStr">
        <is>
          <t>BOOK</t>
        </is>
      </c>
      <c r="BB163" t="inlineStr">
        <is>
          <t>9780801803604</t>
        </is>
      </c>
      <c r="BC163" t="inlineStr">
        <is>
          <t>32285000281633</t>
        </is>
      </c>
      <c r="BD163" t="inlineStr">
        <is>
          <t>893715397</t>
        </is>
      </c>
    </row>
    <row r="164">
      <c r="A164" t="inlineStr">
        <is>
          <t>No</t>
        </is>
      </c>
      <c r="B164" t="inlineStr">
        <is>
          <t>BF161 .L28</t>
        </is>
      </c>
      <c r="C164" t="inlineStr">
        <is>
          <t>0                      BF 0161000L  28</t>
        </is>
      </c>
      <c r="D164" t="inlineStr">
        <is>
          <t>Mind : an essay on human feeling / [by] Susanne K. Langer.</t>
        </is>
      </c>
      <c r="E164" t="inlineStr">
        <is>
          <t>V.2</t>
        </is>
      </c>
      <c r="F164" t="inlineStr">
        <is>
          <t>Yes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Langer, Susanne K. (Susanne Katherina Knauth), 1895-1985.</t>
        </is>
      </c>
      <c r="L164" t="inlineStr">
        <is>
          <t>Baltimore : Johns Hopkins Press, [1967]-c1982.</t>
        </is>
      </c>
      <c r="M164" t="inlineStr">
        <is>
          <t>1967</t>
        </is>
      </c>
      <c r="O164" t="inlineStr">
        <is>
          <t>eng</t>
        </is>
      </c>
      <c r="P164" t="inlineStr">
        <is>
          <t>mdu</t>
        </is>
      </c>
      <c r="R164" t="inlineStr">
        <is>
          <t xml:space="preserve">BF </t>
        </is>
      </c>
      <c r="S164" t="n">
        <v>1</v>
      </c>
      <c r="T164" t="n">
        <v>5</v>
      </c>
      <c r="U164" t="inlineStr">
        <is>
          <t>1998-06-18</t>
        </is>
      </c>
      <c r="V164" t="inlineStr">
        <is>
          <t>2003-06-13</t>
        </is>
      </c>
      <c r="W164" t="inlineStr">
        <is>
          <t>1990-08-14</t>
        </is>
      </c>
      <c r="X164" t="inlineStr">
        <is>
          <t>1990-08-14</t>
        </is>
      </c>
      <c r="Y164" t="n">
        <v>1414</v>
      </c>
      <c r="Z164" t="n">
        <v>1248</v>
      </c>
      <c r="AA164" t="n">
        <v>1359</v>
      </c>
      <c r="AB164" t="n">
        <v>6</v>
      </c>
      <c r="AC164" t="n">
        <v>8</v>
      </c>
      <c r="AD164" t="n">
        <v>44</v>
      </c>
      <c r="AE164" t="n">
        <v>47</v>
      </c>
      <c r="AF164" t="n">
        <v>19</v>
      </c>
      <c r="AG164" t="n">
        <v>21</v>
      </c>
      <c r="AH164" t="n">
        <v>10</v>
      </c>
      <c r="AI164" t="n">
        <v>10</v>
      </c>
      <c r="AJ164" t="n">
        <v>23</v>
      </c>
      <c r="AK164" t="n">
        <v>23</v>
      </c>
      <c r="AL164" t="n">
        <v>4</v>
      </c>
      <c r="AM164" t="n">
        <v>5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HYPERLINK("http://catalog.hathitrust.org/Record/000313891","HathiTrust Record")</f>
        <v/>
      </c>
      <c r="AS164">
        <f>HYPERLINK("https://creighton-primo.hosted.exlibrisgroup.com/primo-explore/search?tab=default_tab&amp;search_scope=EVERYTHING&amp;vid=01CRU&amp;lang=en_US&amp;offset=0&amp;query=any,contains,991001376109702656","Catalog Record")</f>
        <v/>
      </c>
      <c r="AT164">
        <f>HYPERLINK("http://www.worldcat.org/oclc/224928","WorldCat Record")</f>
        <v/>
      </c>
      <c r="AU164" t="inlineStr">
        <is>
          <t>3901123508:eng</t>
        </is>
      </c>
      <c r="AV164" t="inlineStr">
        <is>
          <t>224928</t>
        </is>
      </c>
      <c r="AW164" t="inlineStr">
        <is>
          <t>991001376109702656</t>
        </is>
      </c>
      <c r="AX164" t="inlineStr">
        <is>
          <t>991001376109702656</t>
        </is>
      </c>
      <c r="AY164" t="inlineStr">
        <is>
          <t>2263613900002656</t>
        </is>
      </c>
      <c r="AZ164" t="inlineStr">
        <is>
          <t>BOOK</t>
        </is>
      </c>
      <c r="BB164" t="inlineStr">
        <is>
          <t>9780801803604</t>
        </is>
      </c>
      <c r="BC164" t="inlineStr">
        <is>
          <t>32285000281625</t>
        </is>
      </c>
      <c r="BD164" t="inlineStr">
        <is>
          <t>893715398</t>
        </is>
      </c>
    </row>
    <row r="165">
      <c r="A165" t="inlineStr">
        <is>
          <t>No</t>
        </is>
      </c>
      <c r="B165" t="inlineStr">
        <is>
          <t>BF161 .L28</t>
        </is>
      </c>
      <c r="C165" t="inlineStr">
        <is>
          <t>0                      BF 0161000L  28</t>
        </is>
      </c>
      <c r="D165" t="inlineStr">
        <is>
          <t>Mind : an essay on human feeling / [by] Susanne K. Langer.</t>
        </is>
      </c>
      <c r="E165" t="inlineStr">
        <is>
          <t>V.1</t>
        </is>
      </c>
      <c r="F165" t="inlineStr">
        <is>
          <t>Yes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Langer, Susanne K. (Susanne Katherina Knauth), 1895-1985.</t>
        </is>
      </c>
      <c r="L165" t="inlineStr">
        <is>
          <t>Baltimore : Johns Hopkins Press, [1967]-c1982.</t>
        </is>
      </c>
      <c r="M165" t="inlineStr">
        <is>
          <t>1967</t>
        </is>
      </c>
      <c r="O165" t="inlineStr">
        <is>
          <t>eng</t>
        </is>
      </c>
      <c r="P165" t="inlineStr">
        <is>
          <t>mdu</t>
        </is>
      </c>
      <c r="R165" t="inlineStr">
        <is>
          <t xml:space="preserve">BF </t>
        </is>
      </c>
      <c r="S165" t="n">
        <v>1</v>
      </c>
      <c r="T165" t="n">
        <v>5</v>
      </c>
      <c r="U165" t="inlineStr">
        <is>
          <t>1998-06-18</t>
        </is>
      </c>
      <c r="V165" t="inlineStr">
        <is>
          <t>2003-06-13</t>
        </is>
      </c>
      <c r="W165" t="inlineStr">
        <is>
          <t>1990-08-14</t>
        </is>
      </c>
      <c r="X165" t="inlineStr">
        <is>
          <t>1990-08-14</t>
        </is>
      </c>
      <c r="Y165" t="n">
        <v>1414</v>
      </c>
      <c r="Z165" t="n">
        <v>1248</v>
      </c>
      <c r="AA165" t="n">
        <v>1359</v>
      </c>
      <c r="AB165" t="n">
        <v>6</v>
      </c>
      <c r="AC165" t="n">
        <v>8</v>
      </c>
      <c r="AD165" t="n">
        <v>44</v>
      </c>
      <c r="AE165" t="n">
        <v>47</v>
      </c>
      <c r="AF165" t="n">
        <v>19</v>
      </c>
      <c r="AG165" t="n">
        <v>21</v>
      </c>
      <c r="AH165" t="n">
        <v>10</v>
      </c>
      <c r="AI165" t="n">
        <v>10</v>
      </c>
      <c r="AJ165" t="n">
        <v>23</v>
      </c>
      <c r="AK165" t="n">
        <v>23</v>
      </c>
      <c r="AL165" t="n">
        <v>4</v>
      </c>
      <c r="AM165" t="n">
        <v>5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HYPERLINK("http://catalog.hathitrust.org/Record/000313891","HathiTrust Record")</f>
        <v/>
      </c>
      <c r="AS165">
        <f>HYPERLINK("https://creighton-primo.hosted.exlibrisgroup.com/primo-explore/search?tab=default_tab&amp;search_scope=EVERYTHING&amp;vid=01CRU&amp;lang=en_US&amp;offset=0&amp;query=any,contains,991001376109702656","Catalog Record")</f>
        <v/>
      </c>
      <c r="AT165">
        <f>HYPERLINK("http://www.worldcat.org/oclc/224928","WorldCat Record")</f>
        <v/>
      </c>
      <c r="AU165" t="inlineStr">
        <is>
          <t>3901123508:eng</t>
        </is>
      </c>
      <c r="AV165" t="inlineStr">
        <is>
          <t>224928</t>
        </is>
      </c>
      <c r="AW165" t="inlineStr">
        <is>
          <t>991001376109702656</t>
        </is>
      </c>
      <c r="AX165" t="inlineStr">
        <is>
          <t>991001376109702656</t>
        </is>
      </c>
      <c r="AY165" t="inlineStr">
        <is>
          <t>2263613900002656</t>
        </is>
      </c>
      <c r="AZ165" t="inlineStr">
        <is>
          <t>BOOK</t>
        </is>
      </c>
      <c r="BB165" t="inlineStr">
        <is>
          <t>9780801803604</t>
        </is>
      </c>
      <c r="BC165" t="inlineStr">
        <is>
          <t>32285000281617</t>
        </is>
      </c>
      <c r="BD165" t="inlineStr">
        <is>
          <t>893721008</t>
        </is>
      </c>
    </row>
    <row r="166">
      <c r="A166" t="inlineStr">
        <is>
          <t>No</t>
        </is>
      </c>
      <c r="B166" t="inlineStr">
        <is>
          <t>BF161 .M67 1970</t>
        </is>
      </c>
      <c r="C166" t="inlineStr">
        <is>
          <t>0                      BF 0161000M  67          1970</t>
        </is>
      </c>
      <c r="D166" t="inlineStr">
        <is>
          <t>Introduction to the philosophy of mind; readings from Descartes to Strawson.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Morick, Harold, compiler.</t>
        </is>
      </c>
      <c r="L166" t="inlineStr">
        <is>
          <t>[Glenview, Ill.] Scott, Foresman [1970]</t>
        </is>
      </c>
      <c r="M166" t="inlineStr">
        <is>
          <t>1970</t>
        </is>
      </c>
      <c r="O166" t="inlineStr">
        <is>
          <t>eng</t>
        </is>
      </c>
      <c r="P166" t="inlineStr">
        <is>
          <t>ilu</t>
        </is>
      </c>
      <c r="R166" t="inlineStr">
        <is>
          <t xml:space="preserve">BF </t>
        </is>
      </c>
      <c r="S166" t="n">
        <v>2</v>
      </c>
      <c r="T166" t="n">
        <v>2</v>
      </c>
      <c r="U166" t="inlineStr">
        <is>
          <t>2002-12-02</t>
        </is>
      </c>
      <c r="V166" t="inlineStr">
        <is>
          <t>2002-12-02</t>
        </is>
      </c>
      <c r="W166" t="inlineStr">
        <is>
          <t>1998-12-15</t>
        </is>
      </c>
      <c r="X166" t="inlineStr">
        <is>
          <t>1998-12-15</t>
        </is>
      </c>
      <c r="Y166" t="n">
        <v>420</v>
      </c>
      <c r="Z166" t="n">
        <v>323</v>
      </c>
      <c r="AA166" t="n">
        <v>342</v>
      </c>
      <c r="AB166" t="n">
        <v>2</v>
      </c>
      <c r="AC166" t="n">
        <v>2</v>
      </c>
      <c r="AD166" t="n">
        <v>20</v>
      </c>
      <c r="AE166" t="n">
        <v>21</v>
      </c>
      <c r="AF166" t="n">
        <v>10</v>
      </c>
      <c r="AG166" t="n">
        <v>10</v>
      </c>
      <c r="AH166" t="n">
        <v>3</v>
      </c>
      <c r="AI166" t="n">
        <v>4</v>
      </c>
      <c r="AJ166" t="n">
        <v>9</v>
      </c>
      <c r="AK166" t="n">
        <v>10</v>
      </c>
      <c r="AL166" t="n">
        <v>1</v>
      </c>
      <c r="AM166" t="n">
        <v>1</v>
      </c>
      <c r="AN166" t="n">
        <v>0</v>
      </c>
      <c r="AO166" t="n">
        <v>0</v>
      </c>
      <c r="AP166" t="inlineStr">
        <is>
          <t>No</t>
        </is>
      </c>
      <c r="AQ166" t="inlineStr">
        <is>
          <t>No</t>
        </is>
      </c>
      <c r="AS166">
        <f>HYPERLINK("https://creighton-primo.hosted.exlibrisgroup.com/primo-explore/search?tab=default_tab&amp;search_scope=EVERYTHING&amp;vid=01CRU&amp;lang=en_US&amp;offset=0&amp;query=any,contains,991000368669702656","Catalog Record")</f>
        <v/>
      </c>
      <c r="AT166">
        <f>HYPERLINK("http://www.worldcat.org/oclc/71232","WorldCat Record")</f>
        <v/>
      </c>
      <c r="AU166" t="inlineStr">
        <is>
          <t>836666620:eng</t>
        </is>
      </c>
      <c r="AV166" t="inlineStr">
        <is>
          <t>71232</t>
        </is>
      </c>
      <c r="AW166" t="inlineStr">
        <is>
          <t>991000368669702656</t>
        </is>
      </c>
      <c r="AX166" t="inlineStr">
        <is>
          <t>991000368669702656</t>
        </is>
      </c>
      <c r="AY166" t="inlineStr">
        <is>
          <t>2272700430002656</t>
        </is>
      </c>
      <c r="AZ166" t="inlineStr">
        <is>
          <t>BOOK</t>
        </is>
      </c>
      <c r="BC166" t="inlineStr">
        <is>
          <t>32285003506788</t>
        </is>
      </c>
      <c r="BD166" t="inlineStr">
        <is>
          <t>893249269</t>
        </is>
      </c>
    </row>
    <row r="167">
      <c r="A167" t="inlineStr">
        <is>
          <t>No</t>
        </is>
      </c>
      <c r="B167" t="inlineStr">
        <is>
          <t>BF161 .V4</t>
        </is>
      </c>
      <c r="C167" t="inlineStr">
        <is>
          <t>0                      BF 0161000V  4</t>
        </is>
      </c>
      <c r="D167" t="inlineStr">
        <is>
          <t>Body and mind; readings in philosophy. Edited by G. N. A. Vesey.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K167" t="inlineStr">
        <is>
          <t>Vesey, Godfrey Norman Agmondisham editor.</t>
        </is>
      </c>
      <c r="L167" t="inlineStr">
        <is>
          <t>London, Allen and Unwin [1964]</t>
        </is>
      </c>
      <c r="M167" t="inlineStr">
        <is>
          <t>1964</t>
        </is>
      </c>
      <c r="O167" t="inlineStr">
        <is>
          <t>eng</t>
        </is>
      </c>
      <c r="P167" t="inlineStr">
        <is>
          <t>enk</t>
        </is>
      </c>
      <c r="R167" t="inlineStr">
        <is>
          <t xml:space="preserve">BF </t>
        </is>
      </c>
      <c r="S167" t="n">
        <v>2</v>
      </c>
      <c r="T167" t="n">
        <v>2</v>
      </c>
      <c r="U167" t="inlineStr">
        <is>
          <t>2001-03-20</t>
        </is>
      </c>
      <c r="V167" t="inlineStr">
        <is>
          <t>2001-03-20</t>
        </is>
      </c>
      <c r="W167" t="inlineStr">
        <is>
          <t>1996-07-24</t>
        </is>
      </c>
      <c r="X167" t="inlineStr">
        <is>
          <t>1996-07-24</t>
        </is>
      </c>
      <c r="Y167" t="n">
        <v>609</v>
      </c>
      <c r="Z167" t="n">
        <v>450</v>
      </c>
      <c r="AA167" t="n">
        <v>473</v>
      </c>
      <c r="AB167" t="n">
        <v>4</v>
      </c>
      <c r="AC167" t="n">
        <v>4</v>
      </c>
      <c r="AD167" t="n">
        <v>26</v>
      </c>
      <c r="AE167" t="n">
        <v>26</v>
      </c>
      <c r="AF167" t="n">
        <v>8</v>
      </c>
      <c r="AG167" t="n">
        <v>8</v>
      </c>
      <c r="AH167" t="n">
        <v>9</v>
      </c>
      <c r="AI167" t="n">
        <v>9</v>
      </c>
      <c r="AJ167" t="n">
        <v>14</v>
      </c>
      <c r="AK167" t="n">
        <v>14</v>
      </c>
      <c r="AL167" t="n">
        <v>3</v>
      </c>
      <c r="AM167" t="n">
        <v>3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HYPERLINK("http://catalog.hathitrust.org/Record/000621378","HathiTrust Record")</f>
        <v/>
      </c>
      <c r="AS167">
        <f>HYPERLINK("https://creighton-primo.hosted.exlibrisgroup.com/primo-explore/search?tab=default_tab&amp;search_scope=EVERYTHING&amp;vid=01CRU&amp;lang=en_US&amp;offset=0&amp;query=any,contains,991001213819702656","Catalog Record")</f>
        <v/>
      </c>
      <c r="AT167">
        <f>HYPERLINK("http://www.worldcat.org/oclc/193352","WorldCat Record")</f>
        <v/>
      </c>
      <c r="AU167" t="inlineStr">
        <is>
          <t>477805209:eng</t>
        </is>
      </c>
      <c r="AV167" t="inlineStr">
        <is>
          <t>193352</t>
        </is>
      </c>
      <c r="AW167" t="inlineStr">
        <is>
          <t>991001213819702656</t>
        </is>
      </c>
      <c r="AX167" t="inlineStr">
        <is>
          <t>991001213819702656</t>
        </is>
      </c>
      <c r="AY167" t="inlineStr">
        <is>
          <t>2270838820002656</t>
        </is>
      </c>
      <c r="AZ167" t="inlineStr">
        <is>
          <t>BOOK</t>
        </is>
      </c>
      <c r="BC167" t="inlineStr">
        <is>
          <t>32285002235504</t>
        </is>
      </c>
      <c r="BD167" t="inlineStr">
        <is>
          <t>893778645</t>
        </is>
      </c>
    </row>
    <row r="168">
      <c r="A168" t="inlineStr">
        <is>
          <t>No</t>
        </is>
      </c>
      <c r="B168" t="inlineStr">
        <is>
          <t>BF161 .W46</t>
        </is>
      </c>
      <c r="C168" t="inlineStr">
        <is>
          <t>0                      BF 0161000W  46</t>
        </is>
      </c>
      <c r="D168" t="inlineStr">
        <is>
          <t>The philosophy of mind [by] Alan R. White.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White, Alan R., 1922-1992.</t>
        </is>
      </c>
      <c r="L168" t="inlineStr">
        <is>
          <t>New York, Random House [1967]</t>
        </is>
      </c>
      <c r="M168" t="inlineStr">
        <is>
          <t>1967</t>
        </is>
      </c>
      <c r="O168" t="inlineStr">
        <is>
          <t>eng</t>
        </is>
      </c>
      <c r="P168" t="inlineStr">
        <is>
          <t>nyu</t>
        </is>
      </c>
      <c r="Q168" t="inlineStr">
        <is>
          <t>Studies in philosophy, SPH9</t>
        </is>
      </c>
      <c r="R168" t="inlineStr">
        <is>
          <t xml:space="preserve">BF </t>
        </is>
      </c>
      <c r="S168" t="n">
        <v>1</v>
      </c>
      <c r="T168" t="n">
        <v>1</v>
      </c>
      <c r="U168" t="inlineStr">
        <is>
          <t>2002-06-17</t>
        </is>
      </c>
      <c r="V168" t="inlineStr">
        <is>
          <t>2002-06-17</t>
        </is>
      </c>
      <c r="W168" t="inlineStr">
        <is>
          <t>1996-07-24</t>
        </is>
      </c>
      <c r="X168" t="inlineStr">
        <is>
          <t>1996-07-24</t>
        </is>
      </c>
      <c r="Y168" t="n">
        <v>433</v>
      </c>
      <c r="Z168" t="n">
        <v>336</v>
      </c>
      <c r="AA168" t="n">
        <v>383</v>
      </c>
      <c r="AB168" t="n">
        <v>3</v>
      </c>
      <c r="AC168" t="n">
        <v>3</v>
      </c>
      <c r="AD168" t="n">
        <v>15</v>
      </c>
      <c r="AE168" t="n">
        <v>18</v>
      </c>
      <c r="AF168" t="n">
        <v>4</v>
      </c>
      <c r="AG168" t="n">
        <v>6</v>
      </c>
      <c r="AH168" t="n">
        <v>3</v>
      </c>
      <c r="AI168" t="n">
        <v>4</v>
      </c>
      <c r="AJ168" t="n">
        <v>10</v>
      </c>
      <c r="AK168" t="n">
        <v>12</v>
      </c>
      <c r="AL168" t="n">
        <v>2</v>
      </c>
      <c r="AM168" t="n">
        <v>2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HYPERLINK("http://catalog.hathitrust.org/Record/000621380","HathiTrust Record")</f>
        <v/>
      </c>
      <c r="AS168">
        <f>HYPERLINK("https://creighton-primo.hosted.exlibrisgroup.com/primo-explore/search?tab=default_tab&amp;search_scope=EVERYTHING&amp;vid=01CRU&amp;lang=en_US&amp;offset=0&amp;query=any,contains,991001214329702656","Catalog Record")</f>
        <v/>
      </c>
      <c r="AT168">
        <f>HYPERLINK("http://www.worldcat.org/oclc/193507","WorldCat Record")</f>
        <v/>
      </c>
      <c r="AU168" t="inlineStr">
        <is>
          <t>143321074:eng</t>
        </is>
      </c>
      <c r="AV168" t="inlineStr">
        <is>
          <t>193507</t>
        </is>
      </c>
      <c r="AW168" t="inlineStr">
        <is>
          <t>991001214329702656</t>
        </is>
      </c>
      <c r="AX168" t="inlineStr">
        <is>
          <t>991001214329702656</t>
        </is>
      </c>
      <c r="AY168" t="inlineStr">
        <is>
          <t>2268918740002656</t>
        </is>
      </c>
      <c r="AZ168" t="inlineStr">
        <is>
          <t>BOOK</t>
        </is>
      </c>
      <c r="BC168" t="inlineStr">
        <is>
          <t>32285002235512</t>
        </is>
      </c>
      <c r="BD168" t="inlineStr">
        <is>
          <t>893866057</t>
        </is>
      </c>
    </row>
    <row r="169">
      <c r="A169" t="inlineStr">
        <is>
          <t>No</t>
        </is>
      </c>
      <c r="B169" t="inlineStr">
        <is>
          <t>BF1623.P9 G243 1985</t>
        </is>
      </c>
      <c r="C169" t="inlineStr">
        <is>
          <t>0                      BF 1623000P  9                  G  243         1985</t>
        </is>
      </c>
      <c r="D169" t="inlineStr">
        <is>
          <t>The magic numbers of Dr. Matrix / Martin Gardner.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Gardner, Martin, 1914-2010.</t>
        </is>
      </c>
      <c r="L169" t="inlineStr">
        <is>
          <t>Buffalo, N.Y. : Prometheus, 1985.</t>
        </is>
      </c>
      <c r="M169" t="inlineStr">
        <is>
          <t>1985</t>
        </is>
      </c>
      <c r="O169" t="inlineStr">
        <is>
          <t>eng</t>
        </is>
      </c>
      <c r="P169" t="inlineStr">
        <is>
          <t>nyu</t>
        </is>
      </c>
      <c r="R169" t="inlineStr">
        <is>
          <t xml:space="preserve">BF </t>
        </is>
      </c>
      <c r="S169" t="n">
        <v>7</v>
      </c>
      <c r="T169" t="n">
        <v>7</v>
      </c>
      <c r="U169" t="inlineStr">
        <is>
          <t>2004-09-10</t>
        </is>
      </c>
      <c r="V169" t="inlineStr">
        <is>
          <t>2004-09-10</t>
        </is>
      </c>
      <c r="W169" t="inlineStr">
        <is>
          <t>1993-04-13</t>
        </is>
      </c>
      <c r="X169" t="inlineStr">
        <is>
          <t>1993-04-13</t>
        </is>
      </c>
      <c r="Y169" t="n">
        <v>466</v>
      </c>
      <c r="Z169" t="n">
        <v>411</v>
      </c>
      <c r="AA169" t="n">
        <v>431</v>
      </c>
      <c r="AB169" t="n">
        <v>3</v>
      </c>
      <c r="AC169" t="n">
        <v>3</v>
      </c>
      <c r="AD169" t="n">
        <v>6</v>
      </c>
      <c r="AE169" t="n">
        <v>6</v>
      </c>
      <c r="AF169" t="n">
        <v>3</v>
      </c>
      <c r="AG169" t="n">
        <v>3</v>
      </c>
      <c r="AH169" t="n">
        <v>1</v>
      </c>
      <c r="AI169" t="n">
        <v>1</v>
      </c>
      <c r="AJ169" t="n">
        <v>3</v>
      </c>
      <c r="AK169" t="n">
        <v>3</v>
      </c>
      <c r="AL169" t="n">
        <v>1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HYPERLINK("https://creighton-primo.hosted.exlibrisgroup.com/primo-explore/search?tab=default_tab&amp;search_scope=EVERYTHING&amp;vid=01CRU&amp;lang=en_US&amp;offset=0&amp;query=any,contains,991000638019702656","Catalog Record")</f>
        <v/>
      </c>
      <c r="AT169">
        <f>HYPERLINK("http://www.worldcat.org/oclc/12083784","WorldCat Record")</f>
        <v/>
      </c>
      <c r="AU169" t="inlineStr">
        <is>
          <t>3855370456:eng</t>
        </is>
      </c>
      <c r="AV169" t="inlineStr">
        <is>
          <t>12083784</t>
        </is>
      </c>
      <c r="AW169" t="inlineStr">
        <is>
          <t>991000638019702656</t>
        </is>
      </c>
      <c r="AX169" t="inlineStr">
        <is>
          <t>991000638019702656</t>
        </is>
      </c>
      <c r="AY169" t="inlineStr">
        <is>
          <t>2262654870002656</t>
        </is>
      </c>
      <c r="AZ169" t="inlineStr">
        <is>
          <t>BOOK</t>
        </is>
      </c>
      <c r="BB169" t="inlineStr">
        <is>
          <t>9780879752828</t>
        </is>
      </c>
      <c r="BC169" t="inlineStr">
        <is>
          <t>32285001618098</t>
        </is>
      </c>
      <c r="BD169" t="inlineStr">
        <is>
          <t>893714761</t>
        </is>
      </c>
    </row>
    <row r="170">
      <c r="A170" t="inlineStr">
        <is>
          <t>No</t>
        </is>
      </c>
      <c r="B170" t="inlineStr">
        <is>
          <t>BF1623.P9 H53 1969</t>
        </is>
      </c>
      <c r="C170" t="inlineStr">
        <is>
          <t>0                      BF 1623000P  9                  H  53          1969</t>
        </is>
      </c>
      <c r="D170" t="inlineStr">
        <is>
          <t>Medieval number symbolism: its sources, meaning, and influence on thought and expression.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Hopper, Vincent F. (Vincent Foster), 1906-1976.</t>
        </is>
      </c>
      <c r="L170" t="inlineStr">
        <is>
          <t>New York, Cooper Square Publishers, 1969.</t>
        </is>
      </c>
      <c r="M170" t="inlineStr">
        <is>
          <t>1969</t>
        </is>
      </c>
      <c r="O170" t="inlineStr">
        <is>
          <t>eng</t>
        </is>
      </c>
      <c r="P170" t="inlineStr">
        <is>
          <t>nyu</t>
        </is>
      </c>
      <c r="Q170" t="inlineStr">
        <is>
          <t>Columbia University studies in English and comparative literature ; no. 132</t>
        </is>
      </c>
      <c r="R170" t="inlineStr">
        <is>
          <t xml:space="preserve">BF </t>
        </is>
      </c>
      <c r="S170" t="n">
        <v>11</v>
      </c>
      <c r="T170" t="n">
        <v>11</v>
      </c>
      <c r="U170" t="inlineStr">
        <is>
          <t>2006-10-06</t>
        </is>
      </c>
      <c r="V170" t="inlineStr">
        <is>
          <t>2006-10-06</t>
        </is>
      </c>
      <c r="W170" t="inlineStr">
        <is>
          <t>1990-03-06</t>
        </is>
      </c>
      <c r="X170" t="inlineStr">
        <is>
          <t>1990-03-06</t>
        </is>
      </c>
      <c r="Y170" t="n">
        <v>352</v>
      </c>
      <c r="Z170" t="n">
        <v>289</v>
      </c>
      <c r="AA170" t="n">
        <v>488</v>
      </c>
      <c r="AB170" t="n">
        <v>2</v>
      </c>
      <c r="AC170" t="n">
        <v>6</v>
      </c>
      <c r="AD170" t="n">
        <v>14</v>
      </c>
      <c r="AE170" t="n">
        <v>24</v>
      </c>
      <c r="AF170" t="n">
        <v>5</v>
      </c>
      <c r="AG170" t="n">
        <v>8</v>
      </c>
      <c r="AH170" t="n">
        <v>4</v>
      </c>
      <c r="AI170" t="n">
        <v>4</v>
      </c>
      <c r="AJ170" t="n">
        <v>7</v>
      </c>
      <c r="AK170" t="n">
        <v>13</v>
      </c>
      <c r="AL170" t="n">
        <v>1</v>
      </c>
      <c r="AM170" t="n">
        <v>5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HYPERLINK("https://creighton-primo.hosted.exlibrisgroup.com/primo-explore/search?tab=default_tab&amp;search_scope=EVERYTHING&amp;vid=01CRU&amp;lang=en_US&amp;offset=0&amp;query=any,contains,991000060469702656","Catalog Record")</f>
        <v/>
      </c>
      <c r="AT170">
        <f>HYPERLINK("http://www.worldcat.org/oclc/24468","WorldCat Record")</f>
        <v/>
      </c>
      <c r="AU170" t="inlineStr">
        <is>
          <t>197461150:eng</t>
        </is>
      </c>
      <c r="AV170" t="inlineStr">
        <is>
          <t>24468</t>
        </is>
      </c>
      <c r="AW170" t="inlineStr">
        <is>
          <t>991000060469702656</t>
        </is>
      </c>
      <c r="AX170" t="inlineStr">
        <is>
          <t>991000060469702656</t>
        </is>
      </c>
      <c r="AY170" t="inlineStr">
        <is>
          <t>2266715940002656</t>
        </is>
      </c>
      <c r="AZ170" t="inlineStr">
        <is>
          <t>BOOK</t>
        </is>
      </c>
      <c r="BB170" t="inlineStr">
        <is>
          <t>9780815403050</t>
        </is>
      </c>
      <c r="BC170" t="inlineStr">
        <is>
          <t>32285000077809</t>
        </is>
      </c>
      <c r="BD170" t="inlineStr">
        <is>
          <t>893802459</t>
        </is>
      </c>
    </row>
    <row r="171">
      <c r="A171" t="inlineStr">
        <is>
          <t>No</t>
        </is>
      </c>
      <c r="B171" t="inlineStr">
        <is>
          <t>BF1623.R7 Y38 1972</t>
        </is>
      </c>
      <c r="C171" t="inlineStr">
        <is>
          <t>0                      BF 1623000R  7                  Y  38          1972</t>
        </is>
      </c>
      <c r="D171" t="inlineStr">
        <is>
          <t>The Rosicrucian enlightenment, [by] Frances A. Yates.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Yates, Frances A. (Frances Amelia), 1899-1981.</t>
        </is>
      </c>
      <c r="L171" t="inlineStr">
        <is>
          <t>London, Boston : Routledge and Kegan Paul, 1972.</t>
        </is>
      </c>
      <c r="M171" t="inlineStr">
        <is>
          <t>1972</t>
        </is>
      </c>
      <c r="O171" t="inlineStr">
        <is>
          <t>eng</t>
        </is>
      </c>
      <c r="P171" t="inlineStr">
        <is>
          <t>enk</t>
        </is>
      </c>
      <c r="R171" t="inlineStr">
        <is>
          <t xml:space="preserve">BF </t>
        </is>
      </c>
      <c r="S171" t="n">
        <v>2</v>
      </c>
      <c r="T171" t="n">
        <v>2</v>
      </c>
      <c r="U171" t="inlineStr">
        <is>
          <t>2003-02-11</t>
        </is>
      </c>
      <c r="V171" t="inlineStr">
        <is>
          <t>2003-02-11</t>
        </is>
      </c>
      <c r="W171" t="inlineStr">
        <is>
          <t>1990-09-28</t>
        </is>
      </c>
      <c r="X171" t="inlineStr">
        <is>
          <t>1990-09-28</t>
        </is>
      </c>
      <c r="Y171" t="n">
        <v>746</v>
      </c>
      <c r="Z171" t="n">
        <v>562</v>
      </c>
      <c r="AA171" t="n">
        <v>800</v>
      </c>
      <c r="AB171" t="n">
        <v>3</v>
      </c>
      <c r="AC171" t="n">
        <v>5</v>
      </c>
      <c r="AD171" t="n">
        <v>25</v>
      </c>
      <c r="AE171" t="n">
        <v>36</v>
      </c>
      <c r="AF171" t="n">
        <v>10</v>
      </c>
      <c r="AG171" t="n">
        <v>14</v>
      </c>
      <c r="AH171" t="n">
        <v>6</v>
      </c>
      <c r="AI171" t="n">
        <v>9</v>
      </c>
      <c r="AJ171" t="n">
        <v>11</v>
      </c>
      <c r="AK171" t="n">
        <v>17</v>
      </c>
      <c r="AL171" t="n">
        <v>2</v>
      </c>
      <c r="AM171" t="n">
        <v>3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HYPERLINK("http://catalog.hathitrust.org/Record/000318230","HathiTrust Record")</f>
        <v/>
      </c>
      <c r="AS171">
        <f>HYPERLINK("https://creighton-primo.hosted.exlibrisgroup.com/primo-explore/search?tab=default_tab&amp;search_scope=EVERYTHING&amp;vid=01CRU&amp;lang=en_US&amp;offset=0&amp;query=any,contains,991004414879702656","Catalog Record")</f>
        <v/>
      </c>
      <c r="AT171">
        <f>HYPERLINK("http://www.worldcat.org/oclc/577077","WorldCat Record")</f>
        <v/>
      </c>
      <c r="AU171" t="inlineStr">
        <is>
          <t>881968:eng</t>
        </is>
      </c>
      <c r="AV171" t="inlineStr">
        <is>
          <t>577077</t>
        </is>
      </c>
      <c r="AW171" t="inlineStr">
        <is>
          <t>991004414879702656</t>
        </is>
      </c>
      <c r="AX171" t="inlineStr">
        <is>
          <t>991004414879702656</t>
        </is>
      </c>
      <c r="AY171" t="inlineStr">
        <is>
          <t>2256007700002656</t>
        </is>
      </c>
      <c r="AZ171" t="inlineStr">
        <is>
          <t>BOOK</t>
        </is>
      </c>
      <c r="BB171" t="inlineStr">
        <is>
          <t>9780710073808</t>
        </is>
      </c>
      <c r="BC171" t="inlineStr">
        <is>
          <t>32285000323229</t>
        </is>
      </c>
      <c r="BD171" t="inlineStr">
        <is>
          <t>893718870</t>
        </is>
      </c>
    </row>
    <row r="172">
      <c r="A172" t="inlineStr">
        <is>
          <t>No</t>
        </is>
      </c>
      <c r="B172" t="inlineStr">
        <is>
          <t>BF1679 .A4</t>
        </is>
      </c>
      <c r="C172" t="inlineStr">
        <is>
          <t>0                      BF 1679000A  4</t>
        </is>
      </c>
      <c r="D172" t="inlineStr">
        <is>
          <t>The star-crossed renaissance : the quarrel about astrology and its influence in England / [by] Don Cameron Allen.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Allen, Don Cameron, 1903-1972.</t>
        </is>
      </c>
      <c r="L172" t="inlineStr">
        <is>
          <t>Durham, N.C., Duke University Press, 1941.</t>
        </is>
      </c>
      <c r="M172" t="inlineStr">
        <is>
          <t>1941</t>
        </is>
      </c>
      <c r="O172" t="inlineStr">
        <is>
          <t>eng</t>
        </is>
      </c>
      <c r="P172" t="inlineStr">
        <is>
          <t>ncu</t>
        </is>
      </c>
      <c r="Q172" t="inlineStr">
        <is>
          <t>Duke University publications</t>
        </is>
      </c>
      <c r="R172" t="inlineStr">
        <is>
          <t xml:space="preserve">BF </t>
        </is>
      </c>
      <c r="S172" t="n">
        <v>3</v>
      </c>
      <c r="T172" t="n">
        <v>3</v>
      </c>
      <c r="U172" t="inlineStr">
        <is>
          <t>1999-02-14</t>
        </is>
      </c>
      <c r="V172" t="inlineStr">
        <is>
          <t>1999-02-14</t>
        </is>
      </c>
      <c r="W172" t="inlineStr">
        <is>
          <t>1997-09-25</t>
        </is>
      </c>
      <c r="X172" t="inlineStr">
        <is>
          <t>1997-09-25</t>
        </is>
      </c>
      <c r="Y172" t="n">
        <v>204</v>
      </c>
      <c r="Z172" t="n">
        <v>179</v>
      </c>
      <c r="AA172" t="n">
        <v>182</v>
      </c>
      <c r="AB172" t="n">
        <v>1</v>
      </c>
      <c r="AC172" t="n">
        <v>1</v>
      </c>
      <c r="AD172" t="n">
        <v>10</v>
      </c>
      <c r="AE172" t="n">
        <v>10</v>
      </c>
      <c r="AF172" t="n">
        <v>4</v>
      </c>
      <c r="AG172" t="n">
        <v>4</v>
      </c>
      <c r="AH172" t="n">
        <v>1</v>
      </c>
      <c r="AI172" t="n">
        <v>1</v>
      </c>
      <c r="AJ172" t="n">
        <v>9</v>
      </c>
      <c r="AK172" t="n">
        <v>9</v>
      </c>
      <c r="AL172" t="n">
        <v>0</v>
      </c>
      <c r="AM172" t="n">
        <v>0</v>
      </c>
      <c r="AN172" t="n">
        <v>0</v>
      </c>
      <c r="AO172" t="n">
        <v>0</v>
      </c>
      <c r="AP172" t="inlineStr">
        <is>
          <t>No</t>
        </is>
      </c>
      <c r="AQ172" t="inlineStr">
        <is>
          <t>No</t>
        </is>
      </c>
      <c r="AS172">
        <f>HYPERLINK("https://creighton-primo.hosted.exlibrisgroup.com/primo-explore/search?tab=default_tab&amp;search_scope=EVERYTHING&amp;vid=01CRU&amp;lang=en_US&amp;offset=0&amp;query=any,contains,991003814299702656","Catalog Record")</f>
        <v/>
      </c>
      <c r="AT172">
        <f>HYPERLINK("http://www.worldcat.org/oclc/1544519","WorldCat Record")</f>
        <v/>
      </c>
      <c r="AU172" t="inlineStr">
        <is>
          <t>4241266864:eng</t>
        </is>
      </c>
      <c r="AV172" t="inlineStr">
        <is>
          <t>1544519</t>
        </is>
      </c>
      <c r="AW172" t="inlineStr">
        <is>
          <t>991003814299702656</t>
        </is>
      </c>
      <c r="AX172" t="inlineStr">
        <is>
          <t>991003814299702656</t>
        </is>
      </c>
      <c r="AY172" t="inlineStr">
        <is>
          <t>2265695200002656</t>
        </is>
      </c>
      <c r="AZ172" t="inlineStr">
        <is>
          <t>BOOK</t>
        </is>
      </c>
      <c r="BC172" t="inlineStr">
        <is>
          <t>32285003179321</t>
        </is>
      </c>
      <c r="BD172" t="inlineStr">
        <is>
          <t>893787804</t>
        </is>
      </c>
    </row>
    <row r="173">
      <c r="A173" t="inlineStr">
        <is>
          <t>No</t>
        </is>
      </c>
      <c r="B173" t="inlineStr">
        <is>
          <t>BF1701 .L494 1971</t>
        </is>
      </c>
      <c r="C173" t="inlineStr">
        <is>
          <t>0                      BF 1701000L  494         1971</t>
        </is>
      </c>
      <c r="D173" t="inlineStr">
        <is>
          <t>Origins of astrology.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Lindsay, Jack, 1900-1990.</t>
        </is>
      </c>
      <c r="L173" t="inlineStr">
        <is>
          <t>New York : Barnes &amp; Noble, [1971]</t>
        </is>
      </c>
      <c r="M173" t="inlineStr">
        <is>
          <t>1971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BF </t>
        </is>
      </c>
      <c r="S173" t="n">
        <v>7</v>
      </c>
      <c r="T173" t="n">
        <v>7</v>
      </c>
      <c r="U173" t="inlineStr">
        <is>
          <t>2006-12-02</t>
        </is>
      </c>
      <c r="V173" t="inlineStr">
        <is>
          <t>2006-12-02</t>
        </is>
      </c>
      <c r="W173" t="inlineStr">
        <is>
          <t>1994-04-27</t>
        </is>
      </c>
      <c r="X173" t="inlineStr">
        <is>
          <t>1994-04-27</t>
        </is>
      </c>
      <c r="Y173" t="n">
        <v>403</v>
      </c>
      <c r="Z173" t="n">
        <v>378</v>
      </c>
      <c r="AA173" t="n">
        <v>560</v>
      </c>
      <c r="AB173" t="n">
        <v>5</v>
      </c>
      <c r="AC173" t="n">
        <v>6</v>
      </c>
      <c r="AD173" t="n">
        <v>11</v>
      </c>
      <c r="AE173" t="n">
        <v>19</v>
      </c>
      <c r="AF173" t="n">
        <v>4</v>
      </c>
      <c r="AG173" t="n">
        <v>8</v>
      </c>
      <c r="AH173" t="n">
        <v>2</v>
      </c>
      <c r="AI173" t="n">
        <v>3</v>
      </c>
      <c r="AJ173" t="n">
        <v>6</v>
      </c>
      <c r="AK173" t="n">
        <v>9</v>
      </c>
      <c r="AL173" t="n">
        <v>2</v>
      </c>
      <c r="AM173" t="n">
        <v>3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HYPERLINK("https://creighton-primo.hosted.exlibrisgroup.com/primo-explore/search?tab=default_tab&amp;search_scope=EVERYTHING&amp;vid=01CRU&amp;lang=en_US&amp;offset=0&amp;query=any,contains,991000918619702656","Catalog Record")</f>
        <v/>
      </c>
      <c r="AT173">
        <f>HYPERLINK("http://www.worldcat.org/oclc/160905","WorldCat Record")</f>
        <v/>
      </c>
      <c r="AU173" t="inlineStr">
        <is>
          <t>102504685:eng</t>
        </is>
      </c>
      <c r="AV173" t="inlineStr">
        <is>
          <t>160905</t>
        </is>
      </c>
      <c r="AW173" t="inlineStr">
        <is>
          <t>991000918619702656</t>
        </is>
      </c>
      <c r="AX173" t="inlineStr">
        <is>
          <t>991000918619702656</t>
        </is>
      </c>
      <c r="AY173" t="inlineStr">
        <is>
          <t>2267188980002656</t>
        </is>
      </c>
      <c r="AZ173" t="inlineStr">
        <is>
          <t>BOOK</t>
        </is>
      </c>
      <c r="BB173" t="inlineStr">
        <is>
          <t>9780389041184</t>
        </is>
      </c>
      <c r="BC173" t="inlineStr">
        <is>
          <t>32285001894368</t>
        </is>
      </c>
      <c r="BD173" t="inlineStr">
        <is>
          <t>893419891</t>
        </is>
      </c>
    </row>
    <row r="174">
      <c r="A174" t="inlineStr">
        <is>
          <t>No</t>
        </is>
      </c>
      <c r="B174" t="inlineStr">
        <is>
          <t>BF173 .A57 1968</t>
        </is>
      </c>
      <c r="C174" t="inlineStr">
        <is>
          <t>0                      BF 0173000A  57          1968</t>
        </is>
      </c>
      <c r="D174" t="inlineStr">
        <is>
          <t>Studies in analytical psychology.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Adler, Gerhard, 1904-1988.</t>
        </is>
      </c>
      <c r="L174" t="inlineStr">
        <is>
          <t>New York : Greenwood Press, 1968 [c1948]</t>
        </is>
      </c>
      <c r="M174" t="inlineStr">
        <is>
          <t>1968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BF </t>
        </is>
      </c>
      <c r="S174" t="n">
        <v>1</v>
      </c>
      <c r="T174" t="n">
        <v>1</v>
      </c>
      <c r="U174" t="inlineStr">
        <is>
          <t>2003-10-27</t>
        </is>
      </c>
      <c r="V174" t="inlineStr">
        <is>
          <t>2003-10-27</t>
        </is>
      </c>
      <c r="W174" t="inlineStr">
        <is>
          <t>1992-04-06</t>
        </is>
      </c>
      <c r="X174" t="inlineStr">
        <is>
          <t>1992-04-06</t>
        </is>
      </c>
      <c r="Y174" t="n">
        <v>222</v>
      </c>
      <c r="Z174" t="n">
        <v>194</v>
      </c>
      <c r="AA174" t="n">
        <v>690</v>
      </c>
      <c r="AB174" t="n">
        <v>3</v>
      </c>
      <c r="AC174" t="n">
        <v>3</v>
      </c>
      <c r="AD174" t="n">
        <v>15</v>
      </c>
      <c r="AE174" t="n">
        <v>29</v>
      </c>
      <c r="AF174" t="n">
        <v>7</v>
      </c>
      <c r="AG174" t="n">
        <v>12</v>
      </c>
      <c r="AH174" t="n">
        <v>5</v>
      </c>
      <c r="AI174" t="n">
        <v>7</v>
      </c>
      <c r="AJ174" t="n">
        <v>5</v>
      </c>
      <c r="AK174" t="n">
        <v>15</v>
      </c>
      <c r="AL174" t="n">
        <v>2</v>
      </c>
      <c r="AM174" t="n">
        <v>2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HYPERLINK("https://creighton-primo.hosted.exlibrisgroup.com/primo-explore/search?tab=default_tab&amp;search_scope=EVERYTHING&amp;vid=01CRU&amp;lang=en_US&amp;offset=0&amp;query=any,contains,991003895189702656","Catalog Record")</f>
        <v/>
      </c>
      <c r="AT174">
        <f>HYPERLINK("http://www.worldcat.org/oclc/1807395","WorldCat Record")</f>
        <v/>
      </c>
      <c r="AU174" t="inlineStr">
        <is>
          <t>45632:eng</t>
        </is>
      </c>
      <c r="AV174" t="inlineStr">
        <is>
          <t>1807395</t>
        </is>
      </c>
      <c r="AW174" t="inlineStr">
        <is>
          <t>991003895189702656</t>
        </is>
      </c>
      <c r="AX174" t="inlineStr">
        <is>
          <t>991003895189702656</t>
        </is>
      </c>
      <c r="AY174" t="inlineStr">
        <is>
          <t>2271703980002656</t>
        </is>
      </c>
      <c r="AZ174" t="inlineStr">
        <is>
          <t>BOOK</t>
        </is>
      </c>
      <c r="BC174" t="inlineStr">
        <is>
          <t>32285001034957</t>
        </is>
      </c>
      <c r="BD174" t="inlineStr">
        <is>
          <t>893429398</t>
        </is>
      </c>
    </row>
    <row r="175">
      <c r="A175" t="inlineStr">
        <is>
          <t>No</t>
        </is>
      </c>
      <c r="B175" t="inlineStr">
        <is>
          <t>BF173 .B6334</t>
        </is>
      </c>
      <c r="C175" t="inlineStr">
        <is>
          <t>0                      BF 0173000B  6334</t>
        </is>
      </c>
      <c r="D175" t="inlineStr">
        <is>
          <t>Psychodynamics: the science of unconscious mental forces [by] Gerald S. Blum.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Blum, Gerald S., 1922-</t>
        </is>
      </c>
      <c r="L175" t="inlineStr">
        <is>
          <t>Belmont, Calif., Wadsworth Pub. Co. [1966]</t>
        </is>
      </c>
      <c r="M175" t="inlineStr">
        <is>
          <t>1966</t>
        </is>
      </c>
      <c r="O175" t="inlineStr">
        <is>
          <t>eng</t>
        </is>
      </c>
      <c r="P175" t="inlineStr">
        <is>
          <t>cau</t>
        </is>
      </c>
      <c r="Q175" t="inlineStr">
        <is>
          <t>Basic concepts in psychology series</t>
        </is>
      </c>
      <c r="R175" t="inlineStr">
        <is>
          <t xml:space="preserve">BF </t>
        </is>
      </c>
      <c r="S175" t="n">
        <v>3</v>
      </c>
      <c r="T175" t="n">
        <v>3</v>
      </c>
      <c r="U175" t="inlineStr">
        <is>
          <t>2002-10-16</t>
        </is>
      </c>
      <c r="V175" t="inlineStr">
        <is>
          <t>2002-10-16</t>
        </is>
      </c>
      <c r="W175" t="inlineStr">
        <is>
          <t>1996-07-24</t>
        </is>
      </c>
      <c r="X175" t="inlineStr">
        <is>
          <t>1996-07-24</t>
        </is>
      </c>
      <c r="Y175" t="n">
        <v>332</v>
      </c>
      <c r="Z175" t="n">
        <v>244</v>
      </c>
      <c r="AA175" t="n">
        <v>259</v>
      </c>
      <c r="AB175" t="n">
        <v>4</v>
      </c>
      <c r="AC175" t="n">
        <v>4</v>
      </c>
      <c r="AD175" t="n">
        <v>14</v>
      </c>
      <c r="AE175" t="n">
        <v>14</v>
      </c>
      <c r="AF175" t="n">
        <v>5</v>
      </c>
      <c r="AG175" t="n">
        <v>5</v>
      </c>
      <c r="AH175" t="n">
        <v>3</v>
      </c>
      <c r="AI175" t="n">
        <v>3</v>
      </c>
      <c r="AJ175" t="n">
        <v>7</v>
      </c>
      <c r="AK175" t="n">
        <v>7</v>
      </c>
      <c r="AL175" t="n">
        <v>3</v>
      </c>
      <c r="AM175" t="n">
        <v>3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HYPERLINK("http://catalog.hathitrust.org/Record/009510448","HathiTrust Record")</f>
        <v/>
      </c>
      <c r="AS175">
        <f>HYPERLINK("https://creighton-primo.hosted.exlibrisgroup.com/primo-explore/search?tab=default_tab&amp;search_scope=EVERYTHING&amp;vid=01CRU&amp;lang=en_US&amp;offset=0&amp;query=any,contains,991003202869702656","Catalog Record")</f>
        <v/>
      </c>
      <c r="AT175">
        <f>HYPERLINK("http://www.worldcat.org/oclc/727880","WorldCat Record")</f>
        <v/>
      </c>
      <c r="AU175" t="inlineStr">
        <is>
          <t>1744198:eng</t>
        </is>
      </c>
      <c r="AV175" t="inlineStr">
        <is>
          <t>727880</t>
        </is>
      </c>
      <c r="AW175" t="inlineStr">
        <is>
          <t>991003202869702656</t>
        </is>
      </c>
      <c r="AX175" t="inlineStr">
        <is>
          <t>991003202869702656</t>
        </is>
      </c>
      <c r="AY175" t="inlineStr">
        <is>
          <t>2262004760002656</t>
        </is>
      </c>
      <c r="AZ175" t="inlineStr">
        <is>
          <t>BOOK</t>
        </is>
      </c>
      <c r="BC175" t="inlineStr">
        <is>
          <t>32285002235579</t>
        </is>
      </c>
      <c r="BD175" t="inlineStr">
        <is>
          <t>893246117</t>
        </is>
      </c>
    </row>
    <row r="176">
      <c r="A176" t="inlineStr">
        <is>
          <t>No</t>
        </is>
      </c>
      <c r="B176" t="inlineStr">
        <is>
          <t>BF173 .B82 1976</t>
        </is>
      </c>
      <c r="C176" t="inlineStr">
        <is>
          <t>0                      BF 0173000B  82          1976</t>
        </is>
      </c>
      <c r="D176" t="inlineStr">
        <is>
          <t>Basic principles of psychoanalysis / by A. A. Brill ; with an introd. by Philip R. Lehrman.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Brill, A. A. (Abraham Arden), 1874-1948.</t>
        </is>
      </c>
      <c r="L176" t="inlineStr">
        <is>
          <t>Westport, Conn. : Greenwood Press, 1976, c1949.</t>
        </is>
      </c>
      <c r="M176" t="inlineStr">
        <is>
          <t>1976</t>
        </is>
      </c>
      <c r="O176" t="inlineStr">
        <is>
          <t>eng</t>
        </is>
      </c>
      <c r="P176" t="inlineStr">
        <is>
          <t>ctu</t>
        </is>
      </c>
      <c r="R176" t="inlineStr">
        <is>
          <t xml:space="preserve">BF </t>
        </is>
      </c>
      <c r="S176" t="n">
        <v>3</v>
      </c>
      <c r="T176" t="n">
        <v>3</v>
      </c>
      <c r="U176" t="inlineStr">
        <is>
          <t>1993-11-16</t>
        </is>
      </c>
      <c r="V176" t="inlineStr">
        <is>
          <t>1993-11-16</t>
        </is>
      </c>
      <c r="W176" t="inlineStr">
        <is>
          <t>1993-05-05</t>
        </is>
      </c>
      <c r="X176" t="inlineStr">
        <is>
          <t>1993-05-05</t>
        </is>
      </c>
      <c r="Y176" t="n">
        <v>82</v>
      </c>
      <c r="Z176" t="n">
        <v>77</v>
      </c>
      <c r="AA176" t="n">
        <v>582</v>
      </c>
      <c r="AB176" t="n">
        <v>1</v>
      </c>
      <c r="AC176" t="n">
        <v>4</v>
      </c>
      <c r="AD176" t="n">
        <v>2</v>
      </c>
      <c r="AE176" t="n">
        <v>23</v>
      </c>
      <c r="AF176" t="n">
        <v>0</v>
      </c>
      <c r="AG176" t="n">
        <v>11</v>
      </c>
      <c r="AH176" t="n">
        <v>1</v>
      </c>
      <c r="AI176" t="n">
        <v>5</v>
      </c>
      <c r="AJ176" t="n">
        <v>1</v>
      </c>
      <c r="AK176" t="n">
        <v>9</v>
      </c>
      <c r="AL176" t="n">
        <v>0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Yes</t>
        </is>
      </c>
      <c r="AR176">
        <f>HYPERLINK("http://catalog.hathitrust.org/Record/102023575","HathiTrust Record")</f>
        <v/>
      </c>
      <c r="AS176">
        <f>HYPERLINK("https://creighton-primo.hosted.exlibrisgroup.com/primo-explore/search?tab=default_tab&amp;search_scope=EVERYTHING&amp;vid=01CRU&amp;lang=en_US&amp;offset=0&amp;query=any,contains,991004069409702656","Catalog Record")</f>
        <v/>
      </c>
      <c r="AT176">
        <f>HYPERLINK("http://www.worldcat.org/oclc/2295023","WorldCat Record")</f>
        <v/>
      </c>
      <c r="AU176" t="inlineStr">
        <is>
          <t>1260389:eng</t>
        </is>
      </c>
      <c r="AV176" t="inlineStr">
        <is>
          <t>2295023</t>
        </is>
      </c>
      <c r="AW176" t="inlineStr">
        <is>
          <t>991004069409702656</t>
        </is>
      </c>
      <c r="AX176" t="inlineStr">
        <is>
          <t>991004069409702656</t>
        </is>
      </c>
      <c r="AY176" t="inlineStr">
        <is>
          <t>2264460060002656</t>
        </is>
      </c>
      <c r="AZ176" t="inlineStr">
        <is>
          <t>BOOK</t>
        </is>
      </c>
      <c r="BB176" t="inlineStr">
        <is>
          <t>9780837185002</t>
        </is>
      </c>
      <c r="BC176" t="inlineStr">
        <is>
          <t>32285001634558</t>
        </is>
      </c>
      <c r="BD176" t="inlineStr">
        <is>
          <t>893429613</t>
        </is>
      </c>
    </row>
    <row r="177">
      <c r="A177" t="inlineStr">
        <is>
          <t>No</t>
        </is>
      </c>
      <c r="B177" t="inlineStr">
        <is>
          <t>BF173 .B85 1975</t>
        </is>
      </c>
      <c r="C177" t="inlineStr">
        <is>
          <t>0                      BF 0173000B  85          1975</t>
        </is>
      </c>
      <c r="D177" t="inlineStr">
        <is>
          <t>Generative man : psychoanalytic perspectives / by Don S. Browning.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Browning, Don S.</t>
        </is>
      </c>
      <c r="L177" t="inlineStr">
        <is>
          <t>New York : Dell Pub. Co. 1975, c1973.</t>
        </is>
      </c>
      <c r="M177" t="inlineStr">
        <is>
          <t>1975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BF </t>
        </is>
      </c>
      <c r="S177" t="n">
        <v>4</v>
      </c>
      <c r="T177" t="n">
        <v>4</v>
      </c>
      <c r="U177" t="inlineStr">
        <is>
          <t>1997-01-08</t>
        </is>
      </c>
      <c r="V177" t="inlineStr">
        <is>
          <t>1997-01-08</t>
        </is>
      </c>
      <c r="W177" t="inlineStr">
        <is>
          <t>1990-08-14</t>
        </is>
      </c>
      <c r="X177" t="inlineStr">
        <is>
          <t>1990-08-14</t>
        </is>
      </c>
      <c r="Y177" t="n">
        <v>42</v>
      </c>
      <c r="Z177" t="n">
        <v>34</v>
      </c>
      <c r="AA177" t="n">
        <v>649</v>
      </c>
      <c r="AB177" t="n">
        <v>1</v>
      </c>
      <c r="AC177" t="n">
        <v>4</v>
      </c>
      <c r="AD177" t="n">
        <v>4</v>
      </c>
      <c r="AE177" t="n">
        <v>29</v>
      </c>
      <c r="AF177" t="n">
        <v>0</v>
      </c>
      <c r="AG177" t="n">
        <v>9</v>
      </c>
      <c r="AH177" t="n">
        <v>1</v>
      </c>
      <c r="AI177" t="n">
        <v>9</v>
      </c>
      <c r="AJ177" t="n">
        <v>4</v>
      </c>
      <c r="AK177" t="n">
        <v>15</v>
      </c>
      <c r="AL177" t="n">
        <v>0</v>
      </c>
      <c r="AM177" t="n">
        <v>3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HYPERLINK("https://creighton-primo.hosted.exlibrisgroup.com/primo-explore/search?tab=default_tab&amp;search_scope=EVERYTHING&amp;vid=01CRU&amp;lang=en_US&amp;offset=0&amp;query=any,contains,991004116929702656","Catalog Record")</f>
        <v/>
      </c>
      <c r="AT177">
        <f>HYPERLINK("http://www.worldcat.org/oclc/2416526","WorldCat Record")</f>
        <v/>
      </c>
      <c r="AU177" t="inlineStr">
        <is>
          <t>1717760:eng</t>
        </is>
      </c>
      <c r="AV177" t="inlineStr">
        <is>
          <t>2416526</t>
        </is>
      </c>
      <c r="AW177" t="inlineStr">
        <is>
          <t>991004116929702656</t>
        </is>
      </c>
      <c r="AX177" t="inlineStr">
        <is>
          <t>991004116929702656</t>
        </is>
      </c>
      <c r="AY177" t="inlineStr">
        <is>
          <t>2265395210002656</t>
        </is>
      </c>
      <c r="AZ177" t="inlineStr">
        <is>
          <t>BOOK</t>
        </is>
      </c>
      <c r="BC177" t="inlineStr">
        <is>
          <t>32285000281708</t>
        </is>
      </c>
      <c r="BD177" t="inlineStr">
        <is>
          <t>893605644</t>
        </is>
      </c>
    </row>
    <row r="178">
      <c r="A178" t="inlineStr">
        <is>
          <t>No</t>
        </is>
      </c>
      <c r="B178" t="inlineStr">
        <is>
          <t>BF173 .E69</t>
        </is>
      </c>
      <c r="C178" t="inlineStr">
        <is>
          <t>0                      BF 0173000E  69</t>
        </is>
      </c>
      <c r="D178" t="inlineStr">
        <is>
          <t>Hypnosis: current problems [symposium, "Theory and research methodology in specific fields"]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Estabrooks, G. H. (George Hoben), 1895-1973.</t>
        </is>
      </c>
      <c r="L178" t="inlineStr">
        <is>
          <t>New York, Harper &amp; Row [c1962]</t>
        </is>
      </c>
      <c r="M178" t="inlineStr">
        <is>
          <t>1962</t>
        </is>
      </c>
      <c r="O178" t="inlineStr">
        <is>
          <t>eng</t>
        </is>
      </c>
      <c r="P178" t="inlineStr">
        <is>
          <t xml:space="preserve">xx </t>
        </is>
      </c>
      <c r="R178" t="inlineStr">
        <is>
          <t xml:space="preserve">BF </t>
        </is>
      </c>
      <c r="S178" t="n">
        <v>6</v>
      </c>
      <c r="T178" t="n">
        <v>6</v>
      </c>
      <c r="U178" t="inlineStr">
        <is>
          <t>2004-02-21</t>
        </is>
      </c>
      <c r="V178" t="inlineStr">
        <is>
          <t>2004-02-21</t>
        </is>
      </c>
      <c r="W178" t="inlineStr">
        <is>
          <t>1996-07-24</t>
        </is>
      </c>
      <c r="X178" t="inlineStr">
        <is>
          <t>1996-07-24</t>
        </is>
      </c>
      <c r="Y178" t="n">
        <v>280</v>
      </c>
      <c r="Z178" t="n">
        <v>244</v>
      </c>
      <c r="AA178" t="n">
        <v>258</v>
      </c>
      <c r="AB178" t="n">
        <v>4</v>
      </c>
      <c r="AC178" t="n">
        <v>4</v>
      </c>
      <c r="AD178" t="n">
        <v>14</v>
      </c>
      <c r="AE178" t="n">
        <v>14</v>
      </c>
      <c r="AF178" t="n">
        <v>3</v>
      </c>
      <c r="AG178" t="n">
        <v>3</v>
      </c>
      <c r="AH178" t="n">
        <v>3</v>
      </c>
      <c r="AI178" t="n">
        <v>3</v>
      </c>
      <c r="AJ178" t="n">
        <v>7</v>
      </c>
      <c r="AK178" t="n">
        <v>7</v>
      </c>
      <c r="AL178" t="n">
        <v>3</v>
      </c>
      <c r="AM178" t="n">
        <v>3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HYPERLINK("http://catalog.hathitrust.org/Record/000583141","HathiTrust Record")</f>
        <v/>
      </c>
      <c r="AS178">
        <f>HYPERLINK("https://creighton-primo.hosted.exlibrisgroup.com/primo-explore/search?tab=default_tab&amp;search_scope=EVERYTHING&amp;vid=01CRU&amp;lang=en_US&amp;offset=0&amp;query=any,contains,991000949489702656","Catalog Record")</f>
        <v/>
      </c>
      <c r="AT178">
        <f>HYPERLINK("http://www.worldcat.org/oclc/14619894","WorldCat Record")</f>
        <v/>
      </c>
      <c r="AU178" t="inlineStr">
        <is>
          <t>198599034:eng</t>
        </is>
      </c>
      <c r="AV178" t="inlineStr">
        <is>
          <t>14619894</t>
        </is>
      </c>
      <c r="AW178" t="inlineStr">
        <is>
          <t>991000949489702656</t>
        </is>
      </c>
      <c r="AX178" t="inlineStr">
        <is>
          <t>991000949489702656</t>
        </is>
      </c>
      <c r="AY178" t="inlineStr">
        <is>
          <t>2268811940002656</t>
        </is>
      </c>
      <c r="AZ178" t="inlineStr">
        <is>
          <t>BOOK</t>
        </is>
      </c>
      <c r="BC178" t="inlineStr">
        <is>
          <t>32285002235611</t>
        </is>
      </c>
      <c r="BD178" t="inlineStr">
        <is>
          <t>893690180</t>
        </is>
      </c>
    </row>
    <row r="179">
      <c r="A179" t="inlineStr">
        <is>
          <t>No</t>
        </is>
      </c>
      <c r="B179" t="inlineStr">
        <is>
          <t>BF173 .F494 1979</t>
        </is>
      </c>
      <c r="C179" t="inlineStr">
        <is>
          <t>0                      BF 0173000F  494         1979</t>
        </is>
      </c>
      <c r="D179" t="inlineStr">
        <is>
          <t>A history of psychoanalysis / Reuben Fine.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Fine, Reuben, 1914-1993.</t>
        </is>
      </c>
      <c r="L179" t="inlineStr">
        <is>
          <t>New York : Columbia University Press, 1979.</t>
        </is>
      </c>
      <c r="M179" t="inlineStr">
        <is>
          <t>1979</t>
        </is>
      </c>
      <c r="O179" t="inlineStr">
        <is>
          <t>eng</t>
        </is>
      </c>
      <c r="P179" t="inlineStr">
        <is>
          <t>nyu</t>
        </is>
      </c>
      <c r="R179" t="inlineStr">
        <is>
          <t xml:space="preserve">BF </t>
        </is>
      </c>
      <c r="S179" t="n">
        <v>9</v>
      </c>
      <c r="T179" t="n">
        <v>9</v>
      </c>
      <c r="U179" t="inlineStr">
        <is>
          <t>2009-01-12</t>
        </is>
      </c>
      <c r="V179" t="inlineStr">
        <is>
          <t>2009-01-12</t>
        </is>
      </c>
      <c r="W179" t="inlineStr">
        <is>
          <t>1990-08-14</t>
        </is>
      </c>
      <c r="X179" t="inlineStr">
        <is>
          <t>1990-08-14</t>
        </is>
      </c>
      <c r="Y179" t="n">
        <v>982</v>
      </c>
      <c r="Z179" t="n">
        <v>812</v>
      </c>
      <c r="AA179" t="n">
        <v>953</v>
      </c>
      <c r="AB179" t="n">
        <v>6</v>
      </c>
      <c r="AC179" t="n">
        <v>7</v>
      </c>
      <c r="AD179" t="n">
        <v>29</v>
      </c>
      <c r="AE179" t="n">
        <v>35</v>
      </c>
      <c r="AF179" t="n">
        <v>11</v>
      </c>
      <c r="AG179" t="n">
        <v>14</v>
      </c>
      <c r="AH179" t="n">
        <v>7</v>
      </c>
      <c r="AI179" t="n">
        <v>9</v>
      </c>
      <c r="AJ179" t="n">
        <v>16</v>
      </c>
      <c r="AK179" t="n">
        <v>17</v>
      </c>
      <c r="AL179" t="n">
        <v>4</v>
      </c>
      <c r="AM179" t="n">
        <v>5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HYPERLINK("http://catalog.hathitrust.org/Record/000038380","HathiTrust Record")</f>
        <v/>
      </c>
      <c r="AS179">
        <f>HYPERLINK("https://creighton-primo.hosted.exlibrisgroup.com/primo-explore/search?tab=default_tab&amp;search_scope=EVERYTHING&amp;vid=01CRU&amp;lang=en_US&amp;offset=0&amp;query=any,contains,991004677119702656","Catalog Record")</f>
        <v/>
      </c>
      <c r="AT179">
        <f>HYPERLINK("http://www.worldcat.org/oclc/4549318","WorldCat Record")</f>
        <v/>
      </c>
      <c r="AU179" t="inlineStr">
        <is>
          <t>119487341:eng</t>
        </is>
      </c>
      <c r="AV179" t="inlineStr">
        <is>
          <t>4549318</t>
        </is>
      </c>
      <c r="AW179" t="inlineStr">
        <is>
          <t>991004677119702656</t>
        </is>
      </c>
      <c r="AX179" t="inlineStr">
        <is>
          <t>991004677119702656</t>
        </is>
      </c>
      <c r="AY179" t="inlineStr">
        <is>
          <t>2272718990002656</t>
        </is>
      </c>
      <c r="AZ179" t="inlineStr">
        <is>
          <t>BOOK</t>
        </is>
      </c>
      <c r="BB179" t="inlineStr">
        <is>
          <t>9780231042086</t>
        </is>
      </c>
      <c r="BC179" t="inlineStr">
        <is>
          <t>32285000281740</t>
        </is>
      </c>
      <c r="BD179" t="inlineStr">
        <is>
          <t>893430357</t>
        </is>
      </c>
    </row>
    <row r="180">
      <c r="A180" t="inlineStr">
        <is>
          <t>No</t>
        </is>
      </c>
      <c r="B180" t="inlineStr">
        <is>
          <t>BF173 .F76 1965</t>
        </is>
      </c>
      <c r="C180" t="inlineStr">
        <is>
          <t>0                      BF 0173000F  76          1965</t>
        </is>
      </c>
      <c r="D180" t="inlineStr">
        <is>
          <t>New introductory lectures on psychoanalysis / newly translated and edited by James Strachey.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Freud, Sigmund, 1856-1939.</t>
        </is>
      </c>
      <c r="L180" t="inlineStr">
        <is>
          <t>New York : Norton, [1965]</t>
        </is>
      </c>
      <c r="M180" t="inlineStr">
        <is>
          <t>1965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BF </t>
        </is>
      </c>
      <c r="S180" t="n">
        <v>6</v>
      </c>
      <c r="T180" t="n">
        <v>6</v>
      </c>
      <c r="U180" t="inlineStr">
        <is>
          <t>2005-08-29</t>
        </is>
      </c>
      <c r="V180" t="inlineStr">
        <is>
          <t>2005-08-29</t>
        </is>
      </c>
      <c r="W180" t="inlineStr">
        <is>
          <t>1995-04-11</t>
        </is>
      </c>
      <c r="X180" t="inlineStr">
        <is>
          <t>1995-04-11</t>
        </is>
      </c>
      <c r="Y180" t="n">
        <v>958</v>
      </c>
      <c r="Z180" t="n">
        <v>881</v>
      </c>
      <c r="AA180" t="n">
        <v>1610</v>
      </c>
      <c r="AB180" t="n">
        <v>6</v>
      </c>
      <c r="AC180" t="n">
        <v>13</v>
      </c>
      <c r="AD180" t="n">
        <v>33</v>
      </c>
      <c r="AE180" t="n">
        <v>58</v>
      </c>
      <c r="AF180" t="n">
        <v>14</v>
      </c>
      <c r="AG180" t="n">
        <v>25</v>
      </c>
      <c r="AH180" t="n">
        <v>7</v>
      </c>
      <c r="AI180" t="n">
        <v>10</v>
      </c>
      <c r="AJ180" t="n">
        <v>16</v>
      </c>
      <c r="AK180" t="n">
        <v>24</v>
      </c>
      <c r="AL180" t="n">
        <v>4</v>
      </c>
      <c r="AM180" t="n">
        <v>10</v>
      </c>
      <c r="AN180" t="n">
        <v>1</v>
      </c>
      <c r="AO180" t="n">
        <v>1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HYPERLINK("http://catalog.hathitrust.org/Record/000656492","HathiTrust Record")</f>
        <v/>
      </c>
      <c r="AS180">
        <f>HYPERLINK("https://creighton-primo.hosted.exlibrisgroup.com/primo-explore/search?tab=default_tab&amp;search_scope=EVERYTHING&amp;vid=01CRU&amp;lang=en_US&amp;offset=0&amp;query=any,contains,991001206129702656","Catalog Record")</f>
        <v/>
      </c>
      <c r="AT180">
        <f>HYPERLINK("http://www.worldcat.org/oclc/192144","WorldCat Record")</f>
        <v/>
      </c>
      <c r="AU180" t="inlineStr">
        <is>
          <t>4535726285:eng</t>
        </is>
      </c>
      <c r="AV180" t="inlineStr">
        <is>
          <t>192144</t>
        </is>
      </c>
      <c r="AW180" t="inlineStr">
        <is>
          <t>991001206129702656</t>
        </is>
      </c>
      <c r="AX180" t="inlineStr">
        <is>
          <t>991001206129702656</t>
        </is>
      </c>
      <c r="AY180" t="inlineStr">
        <is>
          <t>2258512500002656</t>
        </is>
      </c>
      <c r="AZ180" t="inlineStr">
        <is>
          <t>BOOK</t>
        </is>
      </c>
      <c r="BC180" t="inlineStr">
        <is>
          <t>32285002026499</t>
        </is>
      </c>
      <c r="BD180" t="inlineStr">
        <is>
          <t>893808989</t>
        </is>
      </c>
    </row>
    <row r="181">
      <c r="A181" t="inlineStr">
        <is>
          <t>No</t>
        </is>
      </c>
      <c r="B181" t="inlineStr">
        <is>
          <t>BF173 .G384</t>
        </is>
      </c>
      <c r="C181" t="inlineStr">
        <is>
          <t>0                      BF 0173000G  384</t>
        </is>
      </c>
      <c r="D181" t="inlineStr">
        <is>
          <t>Psychoanalysis today. [Translated by John S. Chapin and Salvador Attanasio]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Gemelli, Agostino, 1878-1959.</t>
        </is>
      </c>
      <c r="L181" t="inlineStr">
        <is>
          <t>New York, Kenedy [1955]</t>
        </is>
      </c>
      <c r="M181" t="inlineStr">
        <is>
          <t>1955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BF </t>
        </is>
      </c>
      <c r="S181" t="n">
        <v>6</v>
      </c>
      <c r="T181" t="n">
        <v>6</v>
      </c>
      <c r="U181" t="inlineStr">
        <is>
          <t>2010-10-25</t>
        </is>
      </c>
      <c r="V181" t="inlineStr">
        <is>
          <t>2010-10-25</t>
        </is>
      </c>
      <c r="W181" t="inlineStr">
        <is>
          <t>1996-07-24</t>
        </is>
      </c>
      <c r="X181" t="inlineStr">
        <is>
          <t>1996-07-24</t>
        </is>
      </c>
      <c r="Y181" t="n">
        <v>183</v>
      </c>
      <c r="Z181" t="n">
        <v>159</v>
      </c>
      <c r="AA181" t="n">
        <v>159</v>
      </c>
      <c r="AB181" t="n">
        <v>1</v>
      </c>
      <c r="AC181" t="n">
        <v>1</v>
      </c>
      <c r="AD181" t="n">
        <v>25</v>
      </c>
      <c r="AE181" t="n">
        <v>25</v>
      </c>
      <c r="AF181" t="n">
        <v>8</v>
      </c>
      <c r="AG181" t="n">
        <v>8</v>
      </c>
      <c r="AH181" t="n">
        <v>7</v>
      </c>
      <c r="AI181" t="n">
        <v>7</v>
      </c>
      <c r="AJ181" t="n">
        <v>19</v>
      </c>
      <c r="AK181" t="n">
        <v>19</v>
      </c>
      <c r="AL181" t="n">
        <v>0</v>
      </c>
      <c r="AM181" t="n">
        <v>0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HYPERLINK("https://creighton-primo.hosted.exlibrisgroup.com/primo-explore/search?tab=default_tab&amp;search_scope=EVERYTHING&amp;vid=01CRU&amp;lang=en_US&amp;offset=0&amp;query=any,contains,991003726169702656","Catalog Record")</f>
        <v/>
      </c>
      <c r="AT181">
        <f>HYPERLINK("http://www.worldcat.org/oclc/1373538","WorldCat Record")</f>
        <v/>
      </c>
      <c r="AU181" t="inlineStr">
        <is>
          <t>2287842:eng</t>
        </is>
      </c>
      <c r="AV181" t="inlineStr">
        <is>
          <t>1373538</t>
        </is>
      </c>
      <c r="AW181" t="inlineStr">
        <is>
          <t>991003726169702656</t>
        </is>
      </c>
      <c r="AX181" t="inlineStr">
        <is>
          <t>991003726169702656</t>
        </is>
      </c>
      <c r="AY181" t="inlineStr">
        <is>
          <t>2256465820002656</t>
        </is>
      </c>
      <c r="AZ181" t="inlineStr">
        <is>
          <t>BOOK</t>
        </is>
      </c>
      <c r="BC181" t="inlineStr">
        <is>
          <t>32285002235710</t>
        </is>
      </c>
      <c r="BD181" t="inlineStr">
        <is>
          <t>893318333</t>
        </is>
      </c>
    </row>
    <row r="182">
      <c r="A182" t="inlineStr">
        <is>
          <t>No</t>
        </is>
      </c>
      <c r="B182" t="inlineStr">
        <is>
          <t>BF173 .G8 1962</t>
        </is>
      </c>
      <c r="C182" t="inlineStr">
        <is>
          <t>0                      BF 0173000G  8           1962</t>
        </is>
      </c>
      <c r="D182" t="inlineStr">
        <is>
          <t>The psychology of human conflict ; the clash of motives within the individual / by Edwin R. Guthrie.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Guthrie, Edwin R. (Edwin Ray), 1886-1959.</t>
        </is>
      </c>
      <c r="L182" t="inlineStr">
        <is>
          <t>Boston : Beacon Press, 1962, c1938.</t>
        </is>
      </c>
      <c r="M182" t="inlineStr">
        <is>
          <t>1962</t>
        </is>
      </c>
      <c r="O182" t="inlineStr">
        <is>
          <t>eng</t>
        </is>
      </c>
      <c r="P182" t="inlineStr">
        <is>
          <t>mau</t>
        </is>
      </c>
      <c r="R182" t="inlineStr">
        <is>
          <t xml:space="preserve">BF </t>
        </is>
      </c>
      <c r="S182" t="n">
        <v>2</v>
      </c>
      <c r="T182" t="n">
        <v>2</v>
      </c>
      <c r="U182" t="inlineStr">
        <is>
          <t>2002-10-24</t>
        </is>
      </c>
      <c r="V182" t="inlineStr">
        <is>
          <t>2002-10-24</t>
        </is>
      </c>
      <c r="W182" t="inlineStr">
        <is>
          <t>1993-04-21</t>
        </is>
      </c>
      <c r="X182" t="inlineStr">
        <is>
          <t>1993-04-21</t>
        </is>
      </c>
      <c r="Y182" t="n">
        <v>229</v>
      </c>
      <c r="Z182" t="n">
        <v>183</v>
      </c>
      <c r="AA182" t="n">
        <v>652</v>
      </c>
      <c r="AB182" t="n">
        <v>4</v>
      </c>
      <c r="AC182" t="n">
        <v>5</v>
      </c>
      <c r="AD182" t="n">
        <v>10</v>
      </c>
      <c r="AE182" t="n">
        <v>25</v>
      </c>
      <c r="AF182" t="n">
        <v>4</v>
      </c>
      <c r="AG182" t="n">
        <v>9</v>
      </c>
      <c r="AH182" t="n">
        <v>1</v>
      </c>
      <c r="AI182" t="n">
        <v>4</v>
      </c>
      <c r="AJ182" t="n">
        <v>2</v>
      </c>
      <c r="AK182" t="n">
        <v>12</v>
      </c>
      <c r="AL182" t="n">
        <v>3</v>
      </c>
      <c r="AM182" t="n">
        <v>4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HYPERLINK("http://catalog.hathitrust.org/Record/000656251","HathiTrust Record")</f>
        <v/>
      </c>
      <c r="AS182">
        <f>HYPERLINK("https://creighton-primo.hosted.exlibrisgroup.com/primo-explore/search?tab=default_tab&amp;search_scope=EVERYTHING&amp;vid=01CRU&amp;lang=en_US&amp;offset=0&amp;query=any,contains,991001376149702656","Catalog Record")</f>
        <v/>
      </c>
      <c r="AT182">
        <f>HYPERLINK("http://www.worldcat.org/oclc/224934","WorldCat Record")</f>
        <v/>
      </c>
      <c r="AU182" t="inlineStr">
        <is>
          <t>500290:eng</t>
        </is>
      </c>
      <c r="AV182" t="inlineStr">
        <is>
          <t>224934</t>
        </is>
      </c>
      <c r="AW182" t="inlineStr">
        <is>
          <t>991001376149702656</t>
        </is>
      </c>
      <c r="AX182" t="inlineStr">
        <is>
          <t>991001376149702656</t>
        </is>
      </c>
      <c r="AY182" t="inlineStr">
        <is>
          <t>2263601370002656</t>
        </is>
      </c>
      <c r="AZ182" t="inlineStr">
        <is>
          <t>BOOK</t>
        </is>
      </c>
      <c r="BC182" t="inlineStr">
        <is>
          <t>32285001622892</t>
        </is>
      </c>
      <c r="BD182" t="inlineStr">
        <is>
          <t>893621293</t>
        </is>
      </c>
    </row>
    <row r="183">
      <c r="A183" t="inlineStr">
        <is>
          <t>No</t>
        </is>
      </c>
      <c r="B183" t="inlineStr">
        <is>
          <t>BF173 .J67</t>
        </is>
      </c>
      <c r="C183" t="inlineStr">
        <is>
          <t>0                      BF 0173000J  67</t>
        </is>
      </c>
      <c r="D183" t="inlineStr">
        <is>
          <t>Basic writings / edited with an introd. by Violet Staub de Laszlo.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Jung, C. G. (Carl Gustav), 1875-1961.</t>
        </is>
      </c>
      <c r="L183" t="inlineStr">
        <is>
          <t>New York : Modern Library, [1959]</t>
        </is>
      </c>
      <c r="M183" t="inlineStr">
        <is>
          <t>1959</t>
        </is>
      </c>
      <c r="O183" t="inlineStr">
        <is>
          <t>eng</t>
        </is>
      </c>
      <c r="P183" t="inlineStr">
        <is>
          <t>nyu</t>
        </is>
      </c>
      <c r="Q183" t="inlineStr">
        <is>
          <t>The Modern library of the world's best books [300]</t>
        </is>
      </c>
      <c r="R183" t="inlineStr">
        <is>
          <t xml:space="preserve">BF </t>
        </is>
      </c>
      <c r="S183" t="n">
        <v>2</v>
      </c>
      <c r="T183" t="n">
        <v>2</v>
      </c>
      <c r="U183" t="inlineStr">
        <is>
          <t>2002-06-21</t>
        </is>
      </c>
      <c r="V183" t="inlineStr">
        <is>
          <t>2002-06-21</t>
        </is>
      </c>
      <c r="W183" t="inlineStr">
        <is>
          <t>1994-01-24</t>
        </is>
      </c>
      <c r="X183" t="inlineStr">
        <is>
          <t>1994-01-24</t>
        </is>
      </c>
      <c r="Y183" t="n">
        <v>1498</v>
      </c>
      <c r="Z183" t="n">
        <v>1388</v>
      </c>
      <c r="AA183" t="n">
        <v>1389</v>
      </c>
      <c r="AB183" t="n">
        <v>11</v>
      </c>
      <c r="AC183" t="n">
        <v>11</v>
      </c>
      <c r="AD183" t="n">
        <v>34</v>
      </c>
      <c r="AE183" t="n">
        <v>34</v>
      </c>
      <c r="AF183" t="n">
        <v>18</v>
      </c>
      <c r="AG183" t="n">
        <v>18</v>
      </c>
      <c r="AH183" t="n">
        <v>3</v>
      </c>
      <c r="AI183" t="n">
        <v>3</v>
      </c>
      <c r="AJ183" t="n">
        <v>16</v>
      </c>
      <c r="AK183" t="n">
        <v>16</v>
      </c>
      <c r="AL183" t="n">
        <v>5</v>
      </c>
      <c r="AM183" t="n">
        <v>5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R183">
        <f>HYPERLINK("http://catalog.hathitrust.org/Record/000657613","HathiTrust Record")</f>
        <v/>
      </c>
      <c r="AS183">
        <f>HYPERLINK("https://creighton-primo.hosted.exlibrisgroup.com/primo-explore/search?tab=default_tab&amp;search_scope=EVERYTHING&amp;vid=01CRU&amp;lang=en_US&amp;offset=0&amp;query=any,contains,991003426629702656","Catalog Record")</f>
        <v/>
      </c>
      <c r="AT183">
        <f>HYPERLINK("http://www.worldcat.org/oclc/964732","WorldCat Record")</f>
        <v/>
      </c>
      <c r="AU183" t="inlineStr">
        <is>
          <t>5454318146:eng</t>
        </is>
      </c>
      <c r="AV183" t="inlineStr">
        <is>
          <t>964732</t>
        </is>
      </c>
      <c r="AW183" t="inlineStr">
        <is>
          <t>991003426629702656</t>
        </is>
      </c>
      <c r="AX183" t="inlineStr">
        <is>
          <t>991003426629702656</t>
        </is>
      </c>
      <c r="AY183" t="inlineStr">
        <is>
          <t>2261686810002656</t>
        </is>
      </c>
      <c r="AZ183" t="inlineStr">
        <is>
          <t>BOOK</t>
        </is>
      </c>
      <c r="BC183" t="inlineStr">
        <is>
          <t>32285001835833</t>
        </is>
      </c>
      <c r="BD183" t="inlineStr">
        <is>
          <t>893524797</t>
        </is>
      </c>
    </row>
    <row r="184">
      <c r="A184" t="inlineStr">
        <is>
          <t>No</t>
        </is>
      </c>
      <c r="B184" t="inlineStr">
        <is>
          <t>BF173 .J8 1931</t>
        </is>
      </c>
      <c r="C184" t="inlineStr">
        <is>
          <t>0                      BF 0173000J  8           1931</t>
        </is>
      </c>
      <c r="D184" t="inlineStr">
        <is>
          <t>Psychology of the unconscious : a study of the transformations and symbolisms of the libido : a contribution to the history of the evolution of thought / by C.G. Jung ; authorized translation with introduction, by Beatrice M. Hinkle.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Jung, C. G. (Carl Gustav), 1875-1961.</t>
        </is>
      </c>
      <c r="L184" t="inlineStr">
        <is>
          <t>New York : Dodd, Mead, 1931, c1916.</t>
        </is>
      </c>
      <c r="M184" t="inlineStr">
        <is>
          <t>1931</t>
        </is>
      </c>
      <c r="O184" t="inlineStr">
        <is>
          <t>eng</t>
        </is>
      </c>
      <c r="P184" t="inlineStr">
        <is>
          <t>nyu</t>
        </is>
      </c>
      <c r="R184" t="inlineStr">
        <is>
          <t xml:space="preserve">BF </t>
        </is>
      </c>
      <c r="S184" t="n">
        <v>3</v>
      </c>
      <c r="T184" t="n">
        <v>3</v>
      </c>
      <c r="U184" t="inlineStr">
        <is>
          <t>2009-02-26</t>
        </is>
      </c>
      <c r="V184" t="inlineStr">
        <is>
          <t>2009-02-26</t>
        </is>
      </c>
      <c r="W184" t="inlineStr">
        <is>
          <t>1996-07-24</t>
        </is>
      </c>
      <c r="X184" t="inlineStr">
        <is>
          <t>1996-07-24</t>
        </is>
      </c>
      <c r="Y184" t="n">
        <v>16</v>
      </c>
      <c r="Z184" t="n">
        <v>16</v>
      </c>
      <c r="AA184" t="n">
        <v>795</v>
      </c>
      <c r="AB184" t="n">
        <v>1</v>
      </c>
      <c r="AC184" t="n">
        <v>8</v>
      </c>
      <c r="AD184" t="n">
        <v>0</v>
      </c>
      <c r="AE184" t="n">
        <v>34</v>
      </c>
      <c r="AF184" t="n">
        <v>0</v>
      </c>
      <c r="AG184" t="n">
        <v>12</v>
      </c>
      <c r="AH184" t="n">
        <v>0</v>
      </c>
      <c r="AI184" t="n">
        <v>7</v>
      </c>
      <c r="AJ184" t="n">
        <v>0</v>
      </c>
      <c r="AK184" t="n">
        <v>16</v>
      </c>
      <c r="AL184" t="n">
        <v>0</v>
      </c>
      <c r="AM184" t="n">
        <v>6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HYPERLINK("https://creighton-primo.hosted.exlibrisgroup.com/primo-explore/search?tab=default_tab&amp;search_scope=EVERYTHING&amp;vid=01CRU&amp;lang=en_US&amp;offset=0&amp;query=any,contains,991000658349702656","Catalog Record")</f>
        <v/>
      </c>
      <c r="AT184">
        <f>HYPERLINK("http://www.worldcat.org/oclc/12224135","WorldCat Record")</f>
        <v/>
      </c>
      <c r="AU184" t="inlineStr">
        <is>
          <t>3901047276:eng</t>
        </is>
      </c>
      <c r="AV184" t="inlineStr">
        <is>
          <t>12224135</t>
        </is>
      </c>
      <c r="AW184" t="inlineStr">
        <is>
          <t>991000658349702656</t>
        </is>
      </c>
      <c r="AX184" t="inlineStr">
        <is>
          <t>991000658349702656</t>
        </is>
      </c>
      <c r="AY184" t="inlineStr">
        <is>
          <t>2267837910002656</t>
        </is>
      </c>
      <c r="AZ184" t="inlineStr">
        <is>
          <t>BOOK</t>
        </is>
      </c>
      <c r="BC184" t="inlineStr">
        <is>
          <t>32285002235744</t>
        </is>
      </c>
      <c r="BD184" t="inlineStr">
        <is>
          <t>893261564</t>
        </is>
      </c>
    </row>
    <row r="185">
      <c r="A185" t="inlineStr">
        <is>
          <t>No</t>
        </is>
      </c>
      <c r="B185" t="inlineStr">
        <is>
          <t>BF173 .K44</t>
        </is>
      </c>
      <c r="C185" t="inlineStr">
        <is>
          <t>0                      BF 0173000K  44</t>
        </is>
      </c>
      <c r="D185" t="inlineStr">
        <is>
          <t>The disorganized personality [by] George W. Kisker.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Kisker, George W.</t>
        </is>
      </c>
      <c r="L185" t="inlineStr">
        <is>
          <t>New York, McGraw-Hill [1964]</t>
        </is>
      </c>
      <c r="M185" t="inlineStr">
        <is>
          <t>1964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BF </t>
        </is>
      </c>
      <c r="S185" t="n">
        <v>2</v>
      </c>
      <c r="T185" t="n">
        <v>2</v>
      </c>
      <c r="U185" t="inlineStr">
        <is>
          <t>2001-12-10</t>
        </is>
      </c>
      <c r="V185" t="inlineStr">
        <is>
          <t>2001-12-10</t>
        </is>
      </c>
      <c r="W185" t="inlineStr">
        <is>
          <t>1996-07-24</t>
        </is>
      </c>
      <c r="X185" t="inlineStr">
        <is>
          <t>1996-07-24</t>
        </is>
      </c>
      <c r="Y185" t="n">
        <v>449</v>
      </c>
      <c r="Z185" t="n">
        <v>347</v>
      </c>
      <c r="AA185" t="n">
        <v>632</v>
      </c>
      <c r="AB185" t="n">
        <v>4</v>
      </c>
      <c r="AC185" t="n">
        <v>6</v>
      </c>
      <c r="AD185" t="n">
        <v>18</v>
      </c>
      <c r="AE185" t="n">
        <v>27</v>
      </c>
      <c r="AF185" t="n">
        <v>4</v>
      </c>
      <c r="AG185" t="n">
        <v>8</v>
      </c>
      <c r="AH185" t="n">
        <v>5</v>
      </c>
      <c r="AI185" t="n">
        <v>7</v>
      </c>
      <c r="AJ185" t="n">
        <v>11</v>
      </c>
      <c r="AK185" t="n">
        <v>15</v>
      </c>
      <c r="AL185" t="n">
        <v>3</v>
      </c>
      <c r="AM185" t="n">
        <v>5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HYPERLINK("http://catalog.hathitrust.org/Record/001563931","HathiTrust Record")</f>
        <v/>
      </c>
      <c r="AS185">
        <f>HYPERLINK("https://creighton-primo.hosted.exlibrisgroup.com/primo-explore/search?tab=default_tab&amp;search_scope=EVERYTHING&amp;vid=01CRU&amp;lang=en_US&amp;offset=0&amp;query=any,contains,991004096349702656","Catalog Record")</f>
        <v/>
      </c>
      <c r="AT185">
        <f>HYPERLINK("http://www.worldcat.org/oclc/2360203","WorldCat Record")</f>
        <v/>
      </c>
      <c r="AU185" t="inlineStr">
        <is>
          <t>405673:eng</t>
        </is>
      </c>
      <c r="AV185" t="inlineStr">
        <is>
          <t>2360203</t>
        </is>
      </c>
      <c r="AW185" t="inlineStr">
        <is>
          <t>991004096349702656</t>
        </is>
      </c>
      <c r="AX185" t="inlineStr">
        <is>
          <t>991004096349702656</t>
        </is>
      </c>
      <c r="AY185" t="inlineStr">
        <is>
          <t>2272818770002656</t>
        </is>
      </c>
      <c r="AZ185" t="inlineStr">
        <is>
          <t>BOOK</t>
        </is>
      </c>
      <c r="BC185" t="inlineStr">
        <is>
          <t>32285002235801</t>
        </is>
      </c>
      <c r="BD185" t="inlineStr">
        <is>
          <t>893343455</t>
        </is>
      </c>
    </row>
    <row r="186">
      <c r="A186" t="inlineStr">
        <is>
          <t>No</t>
        </is>
      </c>
      <c r="B186" t="inlineStr">
        <is>
          <t>BF173 .L566</t>
        </is>
      </c>
      <c r="C186" t="inlineStr">
        <is>
          <t>0                      BF 0173000L  566</t>
        </is>
      </c>
      <c r="D186" t="inlineStr">
        <is>
          <t>Papers on psychoanalysis / by Hans W. Loewald.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Loewald, Hans W., 1906-1993.</t>
        </is>
      </c>
      <c r="L186" t="inlineStr">
        <is>
          <t>New Haven : Yale University Press, 1980.</t>
        </is>
      </c>
      <c r="M186" t="inlineStr">
        <is>
          <t>1980</t>
        </is>
      </c>
      <c r="O186" t="inlineStr">
        <is>
          <t>eng</t>
        </is>
      </c>
      <c r="P186" t="inlineStr">
        <is>
          <t>ctu</t>
        </is>
      </c>
      <c r="R186" t="inlineStr">
        <is>
          <t xml:space="preserve">BF </t>
        </is>
      </c>
      <c r="S186" t="n">
        <v>4</v>
      </c>
      <c r="T186" t="n">
        <v>4</v>
      </c>
      <c r="U186" t="inlineStr">
        <is>
          <t>2008-12-18</t>
        </is>
      </c>
      <c r="V186" t="inlineStr">
        <is>
          <t>2008-12-18</t>
        </is>
      </c>
      <c r="W186" t="inlineStr">
        <is>
          <t>1990-08-15</t>
        </is>
      </c>
      <c r="X186" t="inlineStr">
        <is>
          <t>1990-08-15</t>
        </is>
      </c>
      <c r="Y186" t="n">
        <v>312</v>
      </c>
      <c r="Z186" t="n">
        <v>259</v>
      </c>
      <c r="AA186" t="n">
        <v>259</v>
      </c>
      <c r="AB186" t="n">
        <v>3</v>
      </c>
      <c r="AC186" t="n">
        <v>3</v>
      </c>
      <c r="AD186" t="n">
        <v>13</v>
      </c>
      <c r="AE186" t="n">
        <v>13</v>
      </c>
      <c r="AF186" t="n">
        <v>2</v>
      </c>
      <c r="AG186" t="n">
        <v>2</v>
      </c>
      <c r="AH186" t="n">
        <v>3</v>
      </c>
      <c r="AI186" t="n">
        <v>3</v>
      </c>
      <c r="AJ186" t="n">
        <v>8</v>
      </c>
      <c r="AK186" t="n">
        <v>8</v>
      </c>
      <c r="AL186" t="n">
        <v>2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HYPERLINK("https://creighton-primo.hosted.exlibrisgroup.com/primo-explore/search?tab=default_tab&amp;search_scope=EVERYTHING&amp;vid=01CRU&amp;lang=en_US&amp;offset=0&amp;query=any,contains,991004927189702656","Catalog Record")</f>
        <v/>
      </c>
      <c r="AT186">
        <f>HYPERLINK("http://www.worldcat.org/oclc/6086794","WorldCat Record")</f>
        <v/>
      </c>
      <c r="AU186" t="inlineStr">
        <is>
          <t>3901376977:eng</t>
        </is>
      </c>
      <c r="AV186" t="inlineStr">
        <is>
          <t>6086794</t>
        </is>
      </c>
      <c r="AW186" t="inlineStr">
        <is>
          <t>991004927189702656</t>
        </is>
      </c>
      <c r="AX186" t="inlineStr">
        <is>
          <t>991004927189702656</t>
        </is>
      </c>
      <c r="AY186" t="inlineStr">
        <is>
          <t>2257755420002656</t>
        </is>
      </c>
      <c r="AZ186" t="inlineStr">
        <is>
          <t>BOOK</t>
        </is>
      </c>
      <c r="BB186" t="inlineStr">
        <is>
          <t>9780300024067</t>
        </is>
      </c>
      <c r="BC186" t="inlineStr">
        <is>
          <t>32285000282870</t>
        </is>
      </c>
      <c r="BD186" t="inlineStr">
        <is>
          <t>893418156</t>
        </is>
      </c>
    </row>
    <row r="187">
      <c r="A187" t="inlineStr">
        <is>
          <t>No</t>
        </is>
      </c>
      <c r="B187" t="inlineStr">
        <is>
          <t>BF173 .M5275 1988</t>
        </is>
      </c>
      <c r="C187" t="inlineStr">
        <is>
          <t>0                      BF 0173000M  5275        1988</t>
        </is>
      </c>
      <c r="D187" t="inlineStr">
        <is>
          <t>Mind, psychoanalysis, and science / edited by Peter Clark and Crispin Wright.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L187" t="inlineStr">
        <is>
          <t>Oxford, UK ; New York, NY, USA : B. Blackwell, 1988.</t>
        </is>
      </c>
      <c r="M187" t="inlineStr">
        <is>
          <t>1988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BF </t>
        </is>
      </c>
      <c r="S187" t="n">
        <v>1</v>
      </c>
      <c r="T187" t="n">
        <v>1</v>
      </c>
      <c r="U187" t="inlineStr">
        <is>
          <t>2003-10-27</t>
        </is>
      </c>
      <c r="V187" t="inlineStr">
        <is>
          <t>2003-10-27</t>
        </is>
      </c>
      <c r="W187" t="inlineStr">
        <is>
          <t>1991-09-03</t>
        </is>
      </c>
      <c r="X187" t="inlineStr">
        <is>
          <t>1991-09-03</t>
        </is>
      </c>
      <c r="Y187" t="n">
        <v>408</v>
      </c>
      <c r="Z187" t="n">
        <v>292</v>
      </c>
      <c r="AA187" t="n">
        <v>299</v>
      </c>
      <c r="AB187" t="n">
        <v>4</v>
      </c>
      <c r="AC187" t="n">
        <v>4</v>
      </c>
      <c r="AD187" t="n">
        <v>18</v>
      </c>
      <c r="AE187" t="n">
        <v>18</v>
      </c>
      <c r="AF187" t="n">
        <v>3</v>
      </c>
      <c r="AG187" t="n">
        <v>3</v>
      </c>
      <c r="AH187" t="n">
        <v>5</v>
      </c>
      <c r="AI187" t="n">
        <v>5</v>
      </c>
      <c r="AJ187" t="n">
        <v>11</v>
      </c>
      <c r="AK187" t="n">
        <v>11</v>
      </c>
      <c r="AL187" t="n">
        <v>3</v>
      </c>
      <c r="AM187" t="n">
        <v>3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HYPERLINK("http://catalog.hathitrust.org/Record/000910407","HathiTrust Record")</f>
        <v/>
      </c>
      <c r="AS187">
        <f>HYPERLINK("https://creighton-primo.hosted.exlibrisgroup.com/primo-explore/search?tab=default_tab&amp;search_scope=EVERYTHING&amp;vid=01CRU&amp;lang=en_US&amp;offset=0&amp;query=any,contains,991001136069702656","Catalog Record")</f>
        <v/>
      </c>
      <c r="AT187">
        <f>HYPERLINK("http://www.worldcat.org/oclc/16713298","WorldCat Record")</f>
        <v/>
      </c>
      <c r="AU187" t="inlineStr">
        <is>
          <t>363806299:eng</t>
        </is>
      </c>
      <c r="AV187" t="inlineStr">
        <is>
          <t>16713298</t>
        </is>
      </c>
      <c r="AW187" t="inlineStr">
        <is>
          <t>991001136069702656</t>
        </is>
      </c>
      <c r="AX187" t="inlineStr">
        <is>
          <t>991001136069702656</t>
        </is>
      </c>
      <c r="AY187" t="inlineStr">
        <is>
          <t>2263434950002656</t>
        </is>
      </c>
      <c r="AZ187" t="inlineStr">
        <is>
          <t>BOOK</t>
        </is>
      </c>
      <c r="BB187" t="inlineStr">
        <is>
          <t>9780631145448</t>
        </is>
      </c>
      <c r="BC187" t="inlineStr">
        <is>
          <t>32285000734292</t>
        </is>
      </c>
      <c r="BD187" t="inlineStr">
        <is>
          <t>893778586</t>
        </is>
      </c>
    </row>
    <row r="188">
      <c r="A188" t="inlineStr">
        <is>
          <t>No</t>
        </is>
      </c>
      <c r="B188" t="inlineStr">
        <is>
          <t>BF173 .M825</t>
        </is>
      </c>
      <c r="C188" t="inlineStr">
        <is>
          <t>0                      BF 0173000M  825</t>
        </is>
      </c>
      <c r="D188" t="inlineStr">
        <is>
          <t>Schools of psychoanalytic thought : an exposition, critique, and attempt at integration.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Munroe, Ruth Learned, 1903-1963.</t>
        </is>
      </c>
      <c r="L188" t="inlineStr">
        <is>
          <t>[New York] : Dryden, [c1955]</t>
        </is>
      </c>
      <c r="M188" t="inlineStr">
        <is>
          <t>1955</t>
        </is>
      </c>
      <c r="O188" t="inlineStr">
        <is>
          <t>eng</t>
        </is>
      </c>
      <c r="P188" t="inlineStr">
        <is>
          <t xml:space="preserve">xx </t>
        </is>
      </c>
      <c r="Q188" t="inlineStr">
        <is>
          <t>The Dryden Press publications in interpersonal relations</t>
        </is>
      </c>
      <c r="R188" t="inlineStr">
        <is>
          <t xml:space="preserve">BF </t>
        </is>
      </c>
      <c r="S188" t="n">
        <v>3</v>
      </c>
      <c r="T188" t="n">
        <v>3</v>
      </c>
      <c r="U188" t="inlineStr">
        <is>
          <t>1995-10-17</t>
        </is>
      </c>
      <c r="V188" t="inlineStr">
        <is>
          <t>1995-10-17</t>
        </is>
      </c>
      <c r="W188" t="inlineStr">
        <is>
          <t>1993-04-27</t>
        </is>
      </c>
      <c r="X188" t="inlineStr">
        <is>
          <t>1993-04-27</t>
        </is>
      </c>
      <c r="Y188" t="n">
        <v>817</v>
      </c>
      <c r="Z188" t="n">
        <v>742</v>
      </c>
      <c r="AA188" t="n">
        <v>1018</v>
      </c>
      <c r="AB188" t="n">
        <v>3</v>
      </c>
      <c r="AC188" t="n">
        <v>5</v>
      </c>
      <c r="AD188" t="n">
        <v>30</v>
      </c>
      <c r="AE188" t="n">
        <v>45</v>
      </c>
      <c r="AF188" t="n">
        <v>13</v>
      </c>
      <c r="AG188" t="n">
        <v>21</v>
      </c>
      <c r="AH188" t="n">
        <v>7</v>
      </c>
      <c r="AI188" t="n">
        <v>9</v>
      </c>
      <c r="AJ188" t="n">
        <v>16</v>
      </c>
      <c r="AK188" t="n">
        <v>22</v>
      </c>
      <c r="AL188" t="n">
        <v>2</v>
      </c>
      <c r="AM188" t="n">
        <v>4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HYPERLINK("http://catalog.hathitrust.org/Record/000657200","HathiTrust Record")</f>
        <v/>
      </c>
      <c r="AS188">
        <f>HYPERLINK("https://creighton-primo.hosted.exlibrisgroup.com/primo-explore/search?tab=default_tab&amp;search_scope=EVERYTHING&amp;vid=01CRU&amp;lang=en_US&amp;offset=0&amp;query=any,contains,991005265809702656","Catalog Record")</f>
        <v/>
      </c>
      <c r="AT188">
        <f>HYPERLINK("http://www.worldcat.org/oclc/14669372","WorldCat Record")</f>
        <v/>
      </c>
      <c r="AU188" t="inlineStr">
        <is>
          <t>1901102:eng</t>
        </is>
      </c>
      <c r="AV188" t="inlineStr">
        <is>
          <t>14669372</t>
        </is>
      </c>
      <c r="AW188" t="inlineStr">
        <is>
          <t>991005265809702656</t>
        </is>
      </c>
      <c r="AX188" t="inlineStr">
        <is>
          <t>991005265809702656</t>
        </is>
      </c>
      <c r="AY188" t="inlineStr">
        <is>
          <t>2265567100002656</t>
        </is>
      </c>
      <c r="AZ188" t="inlineStr">
        <is>
          <t>BOOK</t>
        </is>
      </c>
      <c r="BC188" t="inlineStr">
        <is>
          <t>32285001627966</t>
        </is>
      </c>
      <c r="BD188" t="inlineStr">
        <is>
          <t>893260829</t>
        </is>
      </c>
    </row>
    <row r="189">
      <c r="A189" t="inlineStr">
        <is>
          <t>No</t>
        </is>
      </c>
      <c r="B189" t="inlineStr">
        <is>
          <t>BF173 .P78 1970</t>
        </is>
      </c>
      <c r="C189" t="inlineStr">
        <is>
          <t>0                      BF 0173000P  78          1970</t>
        </is>
      </c>
      <c r="D189" t="inlineStr">
        <is>
          <t>Psychoanalysis as science; the Hixon lectures on the scientific status of psychoanalysis, [by] Ernest R. Hilgard, Lawrence S. Kubie [and] E. Pumpian-Mindlin. Edited by E. Pumpian-Mindlin.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Pumpian-Mindlin, Eugene, 1908-1976, editor.</t>
        </is>
      </c>
      <c r="L189" t="inlineStr">
        <is>
          <t>Westport, Conn., Greenwood Press [1970, c1952]</t>
        </is>
      </c>
      <c r="M189" t="inlineStr">
        <is>
          <t>1970</t>
        </is>
      </c>
      <c r="O189" t="inlineStr">
        <is>
          <t>eng</t>
        </is>
      </c>
      <c r="P189" t="inlineStr">
        <is>
          <t>ctu</t>
        </is>
      </c>
      <c r="R189" t="inlineStr">
        <is>
          <t xml:space="preserve">BF </t>
        </is>
      </c>
      <c r="S189" t="n">
        <v>2</v>
      </c>
      <c r="T189" t="n">
        <v>2</v>
      </c>
      <c r="U189" t="inlineStr">
        <is>
          <t>1996-11-10</t>
        </is>
      </c>
      <c r="V189" t="inlineStr">
        <is>
          <t>1996-11-10</t>
        </is>
      </c>
      <c r="W189" t="inlineStr">
        <is>
          <t>1996-07-24</t>
        </is>
      </c>
      <c r="X189" t="inlineStr">
        <is>
          <t>1996-07-24</t>
        </is>
      </c>
      <c r="Y189" t="n">
        <v>228</v>
      </c>
      <c r="Z189" t="n">
        <v>192</v>
      </c>
      <c r="AA189" t="n">
        <v>568</v>
      </c>
      <c r="AB189" t="n">
        <v>2</v>
      </c>
      <c r="AC189" t="n">
        <v>3</v>
      </c>
      <c r="AD189" t="n">
        <v>10</v>
      </c>
      <c r="AE189" t="n">
        <v>31</v>
      </c>
      <c r="AF189" t="n">
        <v>7</v>
      </c>
      <c r="AG189" t="n">
        <v>15</v>
      </c>
      <c r="AH189" t="n">
        <v>2</v>
      </c>
      <c r="AI189" t="n">
        <v>6</v>
      </c>
      <c r="AJ189" t="n">
        <v>4</v>
      </c>
      <c r="AK189" t="n">
        <v>14</v>
      </c>
      <c r="AL189" t="n">
        <v>1</v>
      </c>
      <c r="AM189" t="n">
        <v>2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HYPERLINK("https://creighton-primo.hosted.exlibrisgroup.com/primo-explore/search?tab=default_tab&amp;search_scope=EVERYTHING&amp;vid=01CRU&amp;lang=en_US&amp;offset=0&amp;query=any,contains,991000636249702656","Catalog Record")</f>
        <v/>
      </c>
      <c r="AT189">
        <f>HYPERLINK("http://www.worldcat.org/oclc/108010","WorldCat Record")</f>
        <v/>
      </c>
      <c r="AU189" t="inlineStr">
        <is>
          <t>138653583:eng</t>
        </is>
      </c>
      <c r="AV189" t="inlineStr">
        <is>
          <t>108010</t>
        </is>
      </c>
      <c r="AW189" t="inlineStr">
        <is>
          <t>991000636249702656</t>
        </is>
      </c>
      <c r="AX189" t="inlineStr">
        <is>
          <t>991000636249702656</t>
        </is>
      </c>
      <c r="AY189" t="inlineStr">
        <is>
          <t>2261911140002656</t>
        </is>
      </c>
      <c r="AZ189" t="inlineStr">
        <is>
          <t>BOOK</t>
        </is>
      </c>
      <c r="BB189" t="inlineStr">
        <is>
          <t>9780837133652</t>
        </is>
      </c>
      <c r="BC189" t="inlineStr">
        <is>
          <t>32285002235942</t>
        </is>
      </c>
      <c r="BD189" t="inlineStr">
        <is>
          <t>893407379</t>
        </is>
      </c>
    </row>
    <row r="190">
      <c r="A190" t="inlineStr">
        <is>
          <t>No</t>
        </is>
      </c>
      <c r="B190" t="inlineStr">
        <is>
          <t>BF173 .R42</t>
        </is>
      </c>
      <c r="C190" t="inlineStr">
        <is>
          <t>0                      BF 0173000R  42</t>
        </is>
      </c>
      <c r="D190" t="inlineStr">
        <is>
          <t>Listening with the third ear : the inner experience of a psychoanalyst.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Reik, Theodor, 1888-1969.</t>
        </is>
      </c>
      <c r="L190" t="inlineStr">
        <is>
          <t>New York : Farrar, Straus, 1948.</t>
        </is>
      </c>
      <c r="M190" t="inlineStr">
        <is>
          <t>1948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BF </t>
        </is>
      </c>
      <c r="S190" t="n">
        <v>2</v>
      </c>
      <c r="T190" t="n">
        <v>2</v>
      </c>
      <c r="U190" t="inlineStr">
        <is>
          <t>2003-04-17</t>
        </is>
      </c>
      <c r="V190" t="inlineStr">
        <is>
          <t>2003-04-17</t>
        </is>
      </c>
      <c r="W190" t="inlineStr">
        <is>
          <t>1991-02-04</t>
        </is>
      </c>
      <c r="X190" t="inlineStr">
        <is>
          <t>1991-02-04</t>
        </is>
      </c>
      <c r="Y190" t="n">
        <v>541</v>
      </c>
      <c r="Z190" t="n">
        <v>509</v>
      </c>
      <c r="AA190" t="n">
        <v>1173</v>
      </c>
      <c r="AB190" t="n">
        <v>5</v>
      </c>
      <c r="AC190" t="n">
        <v>8</v>
      </c>
      <c r="AD190" t="n">
        <v>20</v>
      </c>
      <c r="AE190" t="n">
        <v>47</v>
      </c>
      <c r="AF190" t="n">
        <v>7</v>
      </c>
      <c r="AG190" t="n">
        <v>22</v>
      </c>
      <c r="AH190" t="n">
        <v>3</v>
      </c>
      <c r="AI190" t="n">
        <v>10</v>
      </c>
      <c r="AJ190" t="n">
        <v>10</v>
      </c>
      <c r="AK190" t="n">
        <v>22</v>
      </c>
      <c r="AL190" t="n">
        <v>4</v>
      </c>
      <c r="AM190" t="n">
        <v>6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HYPERLINK("http://catalog.hathitrust.org/Record/000147049","HathiTrust Record")</f>
        <v/>
      </c>
      <c r="AS190">
        <f>HYPERLINK("https://creighton-primo.hosted.exlibrisgroup.com/primo-explore/search?tab=default_tab&amp;search_scope=EVERYTHING&amp;vid=01CRU&amp;lang=en_US&amp;offset=0&amp;query=any,contains,991001215379702656","Catalog Record")</f>
        <v/>
      </c>
      <c r="AT190">
        <f>HYPERLINK("http://www.worldcat.org/oclc/193778","WorldCat Record")</f>
        <v/>
      </c>
      <c r="AU190" t="inlineStr">
        <is>
          <t>1357809:eng</t>
        </is>
      </c>
      <c r="AV190" t="inlineStr">
        <is>
          <t>193778</t>
        </is>
      </c>
      <c r="AW190" t="inlineStr">
        <is>
          <t>991001215379702656</t>
        </is>
      </c>
      <c r="AX190" t="inlineStr">
        <is>
          <t>991001215379702656</t>
        </is>
      </c>
      <c r="AY190" t="inlineStr">
        <is>
          <t>2268803580002656</t>
        </is>
      </c>
      <c r="AZ190" t="inlineStr">
        <is>
          <t>BOOK</t>
        </is>
      </c>
      <c r="BC190" t="inlineStr">
        <is>
          <t>32285000470749</t>
        </is>
      </c>
      <c r="BD190" t="inlineStr">
        <is>
          <t>893503201</t>
        </is>
      </c>
    </row>
    <row r="191">
      <c r="A191" t="inlineStr">
        <is>
          <t>No</t>
        </is>
      </c>
      <c r="B191" t="inlineStr">
        <is>
          <t>BF173 .R423 1956b</t>
        </is>
      </c>
      <c r="C191" t="inlineStr">
        <is>
          <t>0                      BF 0173000R  423         1956b</t>
        </is>
      </c>
      <c r="D191" t="inlineStr">
        <is>
          <t>The search within : the inner experiences of a psychoanalyst; from the works of Theodor Reik / by Theodor Reik.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Reik, Theodor, 1888-1969.</t>
        </is>
      </c>
      <c r="L191" t="inlineStr">
        <is>
          <t>New York : Funk &amp; Wagnalls, 1956.</t>
        </is>
      </c>
      <c r="M191" t="inlineStr">
        <is>
          <t>1956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BF </t>
        </is>
      </c>
      <c r="S191" t="n">
        <v>1</v>
      </c>
      <c r="T191" t="n">
        <v>1</v>
      </c>
      <c r="U191" t="inlineStr">
        <is>
          <t>2003-04-17</t>
        </is>
      </c>
      <c r="V191" t="inlineStr">
        <is>
          <t>2003-04-17</t>
        </is>
      </c>
      <c r="W191" t="inlineStr">
        <is>
          <t>1996-07-24</t>
        </is>
      </c>
      <c r="X191" t="inlineStr">
        <is>
          <t>1996-07-24</t>
        </is>
      </c>
      <c r="Y191" t="n">
        <v>15</v>
      </c>
      <c r="Z191" t="n">
        <v>15</v>
      </c>
      <c r="AA191" t="n">
        <v>492</v>
      </c>
      <c r="AB191" t="n">
        <v>1</v>
      </c>
      <c r="AC191" t="n">
        <v>1</v>
      </c>
      <c r="AD191" t="n">
        <v>0</v>
      </c>
      <c r="AE191" t="n">
        <v>11</v>
      </c>
      <c r="AF191" t="n">
        <v>0</v>
      </c>
      <c r="AG191" t="n">
        <v>1</v>
      </c>
      <c r="AH191" t="n">
        <v>0</v>
      </c>
      <c r="AI191" t="n">
        <v>2</v>
      </c>
      <c r="AJ191" t="n">
        <v>0</v>
      </c>
      <c r="AK191" t="n">
        <v>9</v>
      </c>
      <c r="AL191" t="n">
        <v>0</v>
      </c>
      <c r="AM191" t="n">
        <v>0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HYPERLINK("https://creighton-primo.hosted.exlibrisgroup.com/primo-explore/search?tab=default_tab&amp;search_scope=EVERYTHING&amp;vid=01CRU&amp;lang=en_US&amp;offset=0&amp;query=any,contains,991004882099702656","Catalog Record")</f>
        <v/>
      </c>
      <c r="AT191">
        <f>HYPERLINK("http://www.worldcat.org/oclc/5826707","WorldCat Record")</f>
        <v/>
      </c>
      <c r="AU191" t="inlineStr">
        <is>
          <t>5624304249:eng</t>
        </is>
      </c>
      <c r="AV191" t="inlineStr">
        <is>
          <t>5826707</t>
        </is>
      </c>
      <c r="AW191" t="inlineStr">
        <is>
          <t>991004882099702656</t>
        </is>
      </c>
      <c r="AX191" t="inlineStr">
        <is>
          <t>991004882099702656</t>
        </is>
      </c>
      <c r="AY191" t="inlineStr">
        <is>
          <t>2260545050002656</t>
        </is>
      </c>
      <c r="AZ191" t="inlineStr">
        <is>
          <t>BOOK</t>
        </is>
      </c>
      <c r="BC191" t="inlineStr">
        <is>
          <t>32285002235991</t>
        </is>
      </c>
      <c r="BD191" t="inlineStr">
        <is>
          <t>893424297</t>
        </is>
      </c>
    </row>
    <row r="192">
      <c r="A192" t="inlineStr">
        <is>
          <t>No</t>
        </is>
      </c>
      <c r="B192" t="inlineStr">
        <is>
          <t>BF173 .S443 1989</t>
        </is>
      </c>
      <c r="C192" t="inlineStr">
        <is>
          <t>0                      BF 0173000S  443         1989</t>
        </is>
      </c>
      <c r="D192" t="inlineStr">
        <is>
          <t>The wisdom of the dream : the world of C.G. Jung / Stephen Segaller and Merrill Berger.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K192" t="inlineStr">
        <is>
          <t>Segaller, Stephen.</t>
        </is>
      </c>
      <c r="L192" t="inlineStr">
        <is>
          <t>Boston : Shambhala ; [New York] : Distributed in the United States by Random House, c1989.</t>
        </is>
      </c>
      <c r="M192" t="inlineStr">
        <is>
          <t>1989</t>
        </is>
      </c>
      <c r="N192" t="inlineStr">
        <is>
          <t>1st Shambhala ed.</t>
        </is>
      </c>
      <c r="O192" t="inlineStr">
        <is>
          <t>eng</t>
        </is>
      </c>
      <c r="P192" t="inlineStr">
        <is>
          <t>mau</t>
        </is>
      </c>
      <c r="R192" t="inlineStr">
        <is>
          <t xml:space="preserve">BF </t>
        </is>
      </c>
      <c r="S192" t="n">
        <v>4</v>
      </c>
      <c r="T192" t="n">
        <v>4</v>
      </c>
      <c r="U192" t="inlineStr">
        <is>
          <t>1999-03-24</t>
        </is>
      </c>
      <c r="V192" t="inlineStr">
        <is>
          <t>1999-03-24</t>
        </is>
      </c>
      <c r="W192" t="inlineStr">
        <is>
          <t>1992-01-07</t>
        </is>
      </c>
      <c r="X192" t="inlineStr">
        <is>
          <t>1992-01-07</t>
        </is>
      </c>
      <c r="Y192" t="n">
        <v>389</v>
      </c>
      <c r="Z192" t="n">
        <v>358</v>
      </c>
      <c r="AA192" t="n">
        <v>396</v>
      </c>
      <c r="AB192" t="n">
        <v>3</v>
      </c>
      <c r="AC192" t="n">
        <v>3</v>
      </c>
      <c r="AD192" t="n">
        <v>8</v>
      </c>
      <c r="AE192" t="n">
        <v>9</v>
      </c>
      <c r="AF192" t="n">
        <v>1</v>
      </c>
      <c r="AG192" t="n">
        <v>2</v>
      </c>
      <c r="AH192" t="n">
        <v>2</v>
      </c>
      <c r="AI192" t="n">
        <v>2</v>
      </c>
      <c r="AJ192" t="n">
        <v>5</v>
      </c>
      <c r="AK192" t="n">
        <v>6</v>
      </c>
      <c r="AL192" t="n">
        <v>2</v>
      </c>
      <c r="AM192" t="n">
        <v>2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HYPERLINK("https://creighton-primo.hosted.exlibrisgroup.com/primo-explore/search?tab=default_tab&amp;search_scope=EVERYTHING&amp;vid=01CRU&amp;lang=en_US&amp;offset=0&amp;query=any,contains,991001491559702656","Catalog Record")</f>
        <v/>
      </c>
      <c r="AT192">
        <f>HYPERLINK("http://www.worldcat.org/oclc/19723788","WorldCat Record")</f>
        <v/>
      </c>
      <c r="AU192" t="inlineStr">
        <is>
          <t>1028235554:eng</t>
        </is>
      </c>
      <c r="AV192" t="inlineStr">
        <is>
          <t>19723788</t>
        </is>
      </c>
      <c r="AW192" t="inlineStr">
        <is>
          <t>991001491559702656</t>
        </is>
      </c>
      <c r="AX192" t="inlineStr">
        <is>
          <t>991001491559702656</t>
        </is>
      </c>
      <c r="AY192" t="inlineStr">
        <is>
          <t>2260555870002656</t>
        </is>
      </c>
      <c r="AZ192" t="inlineStr">
        <is>
          <t>BOOK</t>
        </is>
      </c>
      <c r="BB192" t="inlineStr">
        <is>
          <t>9780877735120</t>
        </is>
      </c>
      <c r="BC192" t="inlineStr">
        <is>
          <t>32285000863265</t>
        </is>
      </c>
      <c r="BD192" t="inlineStr">
        <is>
          <t>893709322</t>
        </is>
      </c>
    </row>
    <row r="193">
      <c r="A193" t="inlineStr">
        <is>
          <t>No</t>
        </is>
      </c>
      <c r="B193" t="inlineStr">
        <is>
          <t>BF173 .S68 1952</t>
        </is>
      </c>
      <c r="C193" t="inlineStr">
        <is>
          <t>0                      BF 0173000S  68          1952</t>
        </is>
      </c>
      <c r="D193" t="inlineStr">
        <is>
          <t>Sexual aberrations; the phenomena of fetishism in relation to sex. Authorized English version from the 1st German ed. by S. Parker. Introd. by Emil A. Gutheil.</t>
        </is>
      </c>
      <c r="E193" t="inlineStr">
        <is>
          <t>V.1</t>
        </is>
      </c>
      <c r="F193" t="inlineStr">
        <is>
          <t>Yes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Stekel, Wilhelm, 1868-1940.</t>
        </is>
      </c>
      <c r="L193" t="inlineStr">
        <is>
          <t>New York, Liveright Pub. Corp. [1952]</t>
        </is>
      </c>
      <c r="M193" t="inlineStr">
        <is>
          <t>1952</t>
        </is>
      </c>
      <c r="N193" t="inlineStr">
        <is>
          <t>[Library ed.]</t>
        </is>
      </c>
      <c r="O193" t="inlineStr">
        <is>
          <t>eng</t>
        </is>
      </c>
      <c r="P193" t="inlineStr">
        <is>
          <t>nyu</t>
        </is>
      </c>
      <c r="Q193" t="inlineStr">
        <is>
          <t>His Disorders of the instincts and the emotions; the parapathiac disorders</t>
        </is>
      </c>
      <c r="R193" t="inlineStr">
        <is>
          <t xml:space="preserve">BF </t>
        </is>
      </c>
      <c r="S193" t="n">
        <v>2</v>
      </c>
      <c r="T193" t="n">
        <v>6</v>
      </c>
      <c r="U193" t="inlineStr">
        <is>
          <t>1997-11-03</t>
        </is>
      </c>
      <c r="V193" t="inlineStr">
        <is>
          <t>1998-03-24</t>
        </is>
      </c>
      <c r="W193" t="inlineStr">
        <is>
          <t>1996-07-24</t>
        </is>
      </c>
      <c r="X193" t="inlineStr">
        <is>
          <t>1996-07-24</t>
        </is>
      </c>
      <c r="Y193" t="n">
        <v>171</v>
      </c>
      <c r="Z193" t="n">
        <v>158</v>
      </c>
      <c r="AA193" t="n">
        <v>352</v>
      </c>
      <c r="AB193" t="n">
        <v>1</v>
      </c>
      <c r="AC193" t="n">
        <v>2</v>
      </c>
      <c r="AD193" t="n">
        <v>3</v>
      </c>
      <c r="AE193" t="n">
        <v>10</v>
      </c>
      <c r="AF193" t="n">
        <v>3</v>
      </c>
      <c r="AG193" t="n">
        <v>4</v>
      </c>
      <c r="AH193" t="n">
        <v>0</v>
      </c>
      <c r="AI193" t="n">
        <v>3</v>
      </c>
      <c r="AJ193" t="n">
        <v>1</v>
      </c>
      <c r="AK193" t="n">
        <v>4</v>
      </c>
      <c r="AL193" t="n">
        <v>0</v>
      </c>
      <c r="AM193" t="n">
        <v>1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HYPERLINK("http://catalog.hathitrust.org/Record/000657821","HathiTrust Record")</f>
        <v/>
      </c>
      <c r="AS193">
        <f>HYPERLINK("https://creighton-primo.hosted.exlibrisgroup.com/primo-explore/search?tab=default_tab&amp;search_scope=EVERYTHING&amp;vid=01CRU&amp;lang=en_US&amp;offset=0&amp;query=any,contains,991003269519702656","Catalog Record")</f>
        <v/>
      </c>
      <c r="AT193">
        <f>HYPERLINK("http://www.worldcat.org/oclc/795528","WorldCat Record")</f>
        <v/>
      </c>
      <c r="AU193" t="inlineStr">
        <is>
          <t>517612:eng</t>
        </is>
      </c>
      <c r="AV193" t="inlineStr">
        <is>
          <t>795528</t>
        </is>
      </c>
      <c r="AW193" t="inlineStr">
        <is>
          <t>991003269519702656</t>
        </is>
      </c>
      <c r="AX193" t="inlineStr">
        <is>
          <t>991003269519702656</t>
        </is>
      </c>
      <c r="AY193" t="inlineStr">
        <is>
          <t>2260059290002656</t>
        </is>
      </c>
      <c r="AZ193" t="inlineStr">
        <is>
          <t>BOOK</t>
        </is>
      </c>
      <c r="BC193" t="inlineStr">
        <is>
          <t>32285002236049</t>
        </is>
      </c>
      <c r="BD193" t="inlineStr">
        <is>
          <t>893240040</t>
        </is>
      </c>
    </row>
    <row r="194">
      <c r="A194" t="inlineStr">
        <is>
          <t>No</t>
        </is>
      </c>
      <c r="B194" t="inlineStr">
        <is>
          <t>BF173 .S68 1952</t>
        </is>
      </c>
      <c r="C194" t="inlineStr">
        <is>
          <t>0                      BF 0173000S  68          1952</t>
        </is>
      </c>
      <c r="D194" t="inlineStr">
        <is>
          <t>Sexual aberrations; the phenomena of fetishism in relation to sex. Authorized English version from the 1st German ed. by S. Parker. Introd. by Emil A. Gutheil.</t>
        </is>
      </c>
      <c r="E194" t="inlineStr">
        <is>
          <t>V.2</t>
        </is>
      </c>
      <c r="F194" t="inlineStr">
        <is>
          <t>Yes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Stekel, Wilhelm, 1868-1940.</t>
        </is>
      </c>
      <c r="L194" t="inlineStr">
        <is>
          <t>New York, Liveright Pub. Corp. [1952]</t>
        </is>
      </c>
      <c r="M194" t="inlineStr">
        <is>
          <t>1952</t>
        </is>
      </c>
      <c r="N194" t="inlineStr">
        <is>
          <t>[Library ed.]</t>
        </is>
      </c>
      <c r="O194" t="inlineStr">
        <is>
          <t>eng</t>
        </is>
      </c>
      <c r="P194" t="inlineStr">
        <is>
          <t>nyu</t>
        </is>
      </c>
      <c r="Q194" t="inlineStr">
        <is>
          <t>His Disorders of the instincts and the emotions; the parapathiac disorders</t>
        </is>
      </c>
      <c r="R194" t="inlineStr">
        <is>
          <t xml:space="preserve">BF </t>
        </is>
      </c>
      <c r="S194" t="n">
        <v>4</v>
      </c>
      <c r="T194" t="n">
        <v>6</v>
      </c>
      <c r="U194" t="inlineStr">
        <is>
          <t>1998-03-24</t>
        </is>
      </c>
      <c r="V194" t="inlineStr">
        <is>
          <t>1998-03-24</t>
        </is>
      </c>
      <c r="W194" t="inlineStr">
        <is>
          <t>1996-07-24</t>
        </is>
      </c>
      <c r="X194" t="inlineStr">
        <is>
          <t>1996-07-24</t>
        </is>
      </c>
      <c r="Y194" t="n">
        <v>171</v>
      </c>
      <c r="Z194" t="n">
        <v>158</v>
      </c>
      <c r="AA194" t="n">
        <v>352</v>
      </c>
      <c r="AB194" t="n">
        <v>1</v>
      </c>
      <c r="AC194" t="n">
        <v>2</v>
      </c>
      <c r="AD194" t="n">
        <v>3</v>
      </c>
      <c r="AE194" t="n">
        <v>10</v>
      </c>
      <c r="AF194" t="n">
        <v>3</v>
      </c>
      <c r="AG194" t="n">
        <v>4</v>
      </c>
      <c r="AH194" t="n">
        <v>0</v>
      </c>
      <c r="AI194" t="n">
        <v>3</v>
      </c>
      <c r="AJ194" t="n">
        <v>1</v>
      </c>
      <c r="AK194" t="n">
        <v>4</v>
      </c>
      <c r="AL194" t="n">
        <v>0</v>
      </c>
      <c r="AM194" t="n">
        <v>1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HYPERLINK("http://catalog.hathitrust.org/Record/000657821","HathiTrust Record")</f>
        <v/>
      </c>
      <c r="AS194">
        <f>HYPERLINK("https://creighton-primo.hosted.exlibrisgroup.com/primo-explore/search?tab=default_tab&amp;search_scope=EVERYTHING&amp;vid=01CRU&amp;lang=en_US&amp;offset=0&amp;query=any,contains,991003269519702656","Catalog Record")</f>
        <v/>
      </c>
      <c r="AT194">
        <f>HYPERLINK("http://www.worldcat.org/oclc/795528","WorldCat Record")</f>
        <v/>
      </c>
      <c r="AU194" t="inlineStr">
        <is>
          <t>517612:eng</t>
        </is>
      </c>
      <c r="AV194" t="inlineStr">
        <is>
          <t>795528</t>
        </is>
      </c>
      <c r="AW194" t="inlineStr">
        <is>
          <t>991003269519702656</t>
        </is>
      </c>
      <c r="AX194" t="inlineStr">
        <is>
          <t>991003269519702656</t>
        </is>
      </c>
      <c r="AY194" t="inlineStr">
        <is>
          <t>2260059290002656</t>
        </is>
      </c>
      <c r="AZ194" t="inlineStr">
        <is>
          <t>BOOK</t>
        </is>
      </c>
      <c r="BC194" t="inlineStr">
        <is>
          <t>32285002236056</t>
        </is>
      </c>
      <c r="BD194" t="inlineStr">
        <is>
          <t>893233985</t>
        </is>
      </c>
    </row>
    <row r="195">
      <c r="A195" t="inlineStr">
        <is>
          <t>No</t>
        </is>
      </c>
      <c r="B195" t="inlineStr">
        <is>
          <t>BF173 .T48 1950</t>
        </is>
      </c>
      <c r="C195" t="inlineStr">
        <is>
          <t>0                      BF 0173000T  48          1950</t>
        </is>
      </c>
      <c r="D195" t="inlineStr">
        <is>
          <t>Psychoanalysis : evolution and development / by Clara Thompson, with an introduction by Patrick Mullahy. --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Thompson, Clara, 1893-1958.</t>
        </is>
      </c>
      <c r="L195" t="inlineStr">
        <is>
          <t>New York : Hermitage House, [1950]</t>
        </is>
      </c>
      <c r="M195" t="inlineStr">
        <is>
          <t>1950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BF </t>
        </is>
      </c>
      <c r="S195" t="n">
        <v>1</v>
      </c>
      <c r="T195" t="n">
        <v>1</v>
      </c>
      <c r="U195" t="inlineStr">
        <is>
          <t>2009-03-22</t>
        </is>
      </c>
      <c r="V195" t="inlineStr">
        <is>
          <t>2009-03-22</t>
        </is>
      </c>
      <c r="W195" t="inlineStr">
        <is>
          <t>1990-08-15</t>
        </is>
      </c>
      <c r="X195" t="inlineStr">
        <is>
          <t>1990-08-15</t>
        </is>
      </c>
      <c r="Y195" t="n">
        <v>519</v>
      </c>
      <c r="Z195" t="n">
        <v>473</v>
      </c>
      <c r="AA195" t="n">
        <v>830</v>
      </c>
      <c r="AB195" t="n">
        <v>2</v>
      </c>
      <c r="AC195" t="n">
        <v>4</v>
      </c>
      <c r="AD195" t="n">
        <v>22</v>
      </c>
      <c r="AE195" t="n">
        <v>39</v>
      </c>
      <c r="AF195" t="n">
        <v>10</v>
      </c>
      <c r="AG195" t="n">
        <v>16</v>
      </c>
      <c r="AH195" t="n">
        <v>4</v>
      </c>
      <c r="AI195" t="n">
        <v>9</v>
      </c>
      <c r="AJ195" t="n">
        <v>13</v>
      </c>
      <c r="AK195" t="n">
        <v>22</v>
      </c>
      <c r="AL195" t="n">
        <v>1</v>
      </c>
      <c r="AM195" t="n">
        <v>3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HYPERLINK("http://catalog.hathitrust.org/Record/000657839","HathiTrust Record")</f>
        <v/>
      </c>
      <c r="AS195">
        <f>HYPERLINK("https://creighton-primo.hosted.exlibrisgroup.com/primo-explore/search?tab=default_tab&amp;search_scope=EVERYTHING&amp;vid=01CRU&amp;lang=en_US&amp;offset=0&amp;query=any,contains,991002942779702656","Catalog Record")</f>
        <v/>
      </c>
      <c r="AT195">
        <f>HYPERLINK("http://www.worldcat.org/oclc/542657","WorldCat Record")</f>
        <v/>
      </c>
      <c r="AU195" t="inlineStr">
        <is>
          <t>1335163:eng</t>
        </is>
      </c>
      <c r="AV195" t="inlineStr">
        <is>
          <t>542657</t>
        </is>
      </c>
      <c r="AW195" t="inlineStr">
        <is>
          <t>991002942779702656</t>
        </is>
      </c>
      <c r="AX195" t="inlineStr">
        <is>
          <t>991002942779702656</t>
        </is>
      </c>
      <c r="AY195" t="inlineStr">
        <is>
          <t>2263393060002656</t>
        </is>
      </c>
      <c r="AZ195" t="inlineStr">
        <is>
          <t>BOOK</t>
        </is>
      </c>
      <c r="BC195" t="inlineStr">
        <is>
          <t>32285000282961</t>
        </is>
      </c>
      <c r="BD195" t="inlineStr">
        <is>
          <t>893227473</t>
        </is>
      </c>
    </row>
    <row r="196">
      <c r="A196" t="inlineStr">
        <is>
          <t>No</t>
        </is>
      </c>
      <c r="B196" t="inlineStr">
        <is>
          <t>BF173 .W23 1964</t>
        </is>
      </c>
      <c r="C196" t="inlineStr">
        <is>
          <t>0                      BF 0173000W  23          1964</t>
        </is>
      </c>
      <c r="D196" t="inlineStr">
        <is>
          <t>Basic theory of psychoanalysis.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Waelder, Robert.</t>
        </is>
      </c>
      <c r="L196" t="inlineStr">
        <is>
          <t>New York, Schocken Books [1964, c1960]</t>
        </is>
      </c>
      <c r="M196" t="inlineStr">
        <is>
          <t>1964</t>
        </is>
      </c>
      <c r="O196" t="inlineStr">
        <is>
          <t>eng</t>
        </is>
      </c>
      <c r="P196" t="inlineStr">
        <is>
          <t xml:space="preserve">xx </t>
        </is>
      </c>
      <c r="Q196" t="inlineStr">
        <is>
          <t>Schocken paperbacks</t>
        </is>
      </c>
      <c r="R196" t="inlineStr">
        <is>
          <t xml:space="preserve">BF </t>
        </is>
      </c>
      <c r="S196" t="n">
        <v>2</v>
      </c>
      <c r="T196" t="n">
        <v>2</v>
      </c>
      <c r="U196" t="inlineStr">
        <is>
          <t>1996-11-10</t>
        </is>
      </c>
      <c r="V196" t="inlineStr">
        <is>
          <t>1996-11-10</t>
        </is>
      </c>
      <c r="W196" t="inlineStr">
        <is>
          <t>1996-07-24</t>
        </is>
      </c>
      <c r="X196" t="inlineStr">
        <is>
          <t>1996-07-24</t>
        </is>
      </c>
      <c r="Y196" t="n">
        <v>158</v>
      </c>
      <c r="Z196" t="n">
        <v>137</v>
      </c>
      <c r="AA196" t="n">
        <v>559</v>
      </c>
      <c r="AB196" t="n">
        <v>1</v>
      </c>
      <c r="AC196" t="n">
        <v>3</v>
      </c>
      <c r="AD196" t="n">
        <v>4</v>
      </c>
      <c r="AE196" t="n">
        <v>24</v>
      </c>
      <c r="AF196" t="n">
        <v>2</v>
      </c>
      <c r="AG196" t="n">
        <v>8</v>
      </c>
      <c r="AH196" t="n">
        <v>0</v>
      </c>
      <c r="AI196" t="n">
        <v>6</v>
      </c>
      <c r="AJ196" t="n">
        <v>2</v>
      </c>
      <c r="AK196" t="n">
        <v>12</v>
      </c>
      <c r="AL196" t="n">
        <v>0</v>
      </c>
      <c r="AM196" t="n">
        <v>1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HYPERLINK("http://catalog.hathitrust.org/Record/009906648","HathiTrust Record")</f>
        <v/>
      </c>
      <c r="AS196">
        <f>HYPERLINK("https://creighton-primo.hosted.exlibrisgroup.com/primo-explore/search?tab=default_tab&amp;search_scope=EVERYTHING&amp;vid=01CRU&amp;lang=en_US&amp;offset=0&amp;query=any,contains,991003533359702656","Catalog Record")</f>
        <v/>
      </c>
      <c r="AT196">
        <f>HYPERLINK("http://www.worldcat.org/oclc/1095881","WorldCat Record")</f>
        <v/>
      </c>
      <c r="AU196" t="inlineStr">
        <is>
          <t>2073687:eng</t>
        </is>
      </c>
      <c r="AV196" t="inlineStr">
        <is>
          <t>1095881</t>
        </is>
      </c>
      <c r="AW196" t="inlineStr">
        <is>
          <t>991003533359702656</t>
        </is>
      </c>
      <c r="AX196" t="inlineStr">
        <is>
          <t>991003533359702656</t>
        </is>
      </c>
      <c r="AY196" t="inlineStr">
        <is>
          <t>2267943430002656</t>
        </is>
      </c>
      <c r="AZ196" t="inlineStr">
        <is>
          <t>BOOK</t>
        </is>
      </c>
      <c r="BC196" t="inlineStr">
        <is>
          <t>32285002236072</t>
        </is>
      </c>
      <c r="BD196" t="inlineStr">
        <is>
          <t>893445710</t>
        </is>
      </c>
    </row>
    <row r="197">
      <c r="A197" t="inlineStr">
        <is>
          <t>No</t>
        </is>
      </c>
      <c r="B197" t="inlineStr">
        <is>
          <t>BF173 .W44 1964</t>
        </is>
      </c>
      <c r="C197" t="inlineStr">
        <is>
          <t>0                      BF 0173000W  44          1964</t>
        </is>
      </c>
      <c r="D197" t="inlineStr">
        <is>
          <t>The abnormal personality / [by] Robert W. White.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White, Robert Winthrop.</t>
        </is>
      </c>
      <c r="L197" t="inlineStr">
        <is>
          <t>New York : Ronald Press Co., [1964]</t>
        </is>
      </c>
      <c r="M197" t="inlineStr">
        <is>
          <t>1964</t>
        </is>
      </c>
      <c r="N197" t="inlineStr">
        <is>
          <t>3d ed.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BF </t>
        </is>
      </c>
      <c r="S197" t="n">
        <v>2</v>
      </c>
      <c r="T197" t="n">
        <v>2</v>
      </c>
      <c r="U197" t="inlineStr">
        <is>
          <t>1996-06-24</t>
        </is>
      </c>
      <c r="V197" t="inlineStr">
        <is>
          <t>1996-06-24</t>
        </is>
      </c>
      <c r="W197" t="inlineStr">
        <is>
          <t>1992-12-16</t>
        </is>
      </c>
      <c r="X197" t="inlineStr">
        <is>
          <t>1992-12-16</t>
        </is>
      </c>
      <c r="Y197" t="n">
        <v>598</v>
      </c>
      <c r="Z197" t="n">
        <v>496</v>
      </c>
      <c r="AA197" t="n">
        <v>1074</v>
      </c>
      <c r="AB197" t="n">
        <v>6</v>
      </c>
      <c r="AC197" t="n">
        <v>8</v>
      </c>
      <c r="AD197" t="n">
        <v>22</v>
      </c>
      <c r="AE197" t="n">
        <v>44</v>
      </c>
      <c r="AF197" t="n">
        <v>7</v>
      </c>
      <c r="AG197" t="n">
        <v>18</v>
      </c>
      <c r="AH197" t="n">
        <v>5</v>
      </c>
      <c r="AI197" t="n">
        <v>8</v>
      </c>
      <c r="AJ197" t="n">
        <v>9</v>
      </c>
      <c r="AK197" t="n">
        <v>19</v>
      </c>
      <c r="AL197" t="n">
        <v>4</v>
      </c>
      <c r="AM197" t="n">
        <v>6</v>
      </c>
      <c r="AN197" t="n">
        <v>0</v>
      </c>
      <c r="AO197" t="n">
        <v>1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HYPERLINK("http://catalog.hathitrust.org/Record/001564007","HathiTrust Record")</f>
        <v/>
      </c>
      <c r="AS197">
        <f>HYPERLINK("https://creighton-primo.hosted.exlibrisgroup.com/primo-explore/search?tab=default_tab&amp;search_scope=EVERYTHING&amp;vid=01CRU&amp;lang=en_US&amp;offset=0&amp;query=any,contains,991005264459702656","Catalog Record")</f>
        <v/>
      </c>
      <c r="AT197">
        <f>HYPERLINK("http://www.worldcat.org/oclc/191971","WorldCat Record")</f>
        <v/>
      </c>
      <c r="AU197" t="inlineStr">
        <is>
          <t>488702:eng</t>
        </is>
      </c>
      <c r="AV197" t="inlineStr">
        <is>
          <t>191971</t>
        </is>
      </c>
      <c r="AW197" t="inlineStr">
        <is>
          <t>991005264459702656</t>
        </is>
      </c>
      <c r="AX197" t="inlineStr">
        <is>
          <t>991005264459702656</t>
        </is>
      </c>
      <c r="AY197" t="inlineStr">
        <is>
          <t>2258975390002656</t>
        </is>
      </c>
      <c r="AZ197" t="inlineStr">
        <is>
          <t>BOOK</t>
        </is>
      </c>
      <c r="BC197" t="inlineStr">
        <is>
          <t>32285001443208</t>
        </is>
      </c>
      <c r="BD197" t="inlineStr">
        <is>
          <t>893902390</t>
        </is>
      </c>
    </row>
    <row r="198">
      <c r="A198" t="inlineStr">
        <is>
          <t>No</t>
        </is>
      </c>
      <c r="B198" t="inlineStr">
        <is>
          <t>BF173 .W542 1978</t>
        </is>
      </c>
      <c r="C198" t="inlineStr">
        <is>
          <t>0                      BF 0173000W  542         1978</t>
        </is>
      </c>
      <c r="D198" t="inlineStr">
        <is>
          <t>The symbolic quest : basic concepts of analytical psychology / Edward C. Whitmont.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Whitmont, Edward C., 1912-1998.</t>
        </is>
      </c>
      <c r="L198" t="inlineStr">
        <is>
          <t>Princeton : Princeton University Press, c1969.</t>
        </is>
      </c>
      <c r="M198" t="inlineStr">
        <is>
          <t>1978</t>
        </is>
      </c>
      <c r="O198" t="inlineStr">
        <is>
          <t>eng</t>
        </is>
      </c>
      <c r="P198" t="inlineStr">
        <is>
          <t>nju</t>
        </is>
      </c>
      <c r="Q198" t="inlineStr">
        <is>
          <t>Princeton paperbacks</t>
        </is>
      </c>
      <c r="R198" t="inlineStr">
        <is>
          <t xml:space="preserve">BF </t>
        </is>
      </c>
      <c r="S198" t="n">
        <v>1</v>
      </c>
      <c r="T198" t="n">
        <v>1</v>
      </c>
      <c r="U198" t="inlineStr">
        <is>
          <t>2001-10-21</t>
        </is>
      </c>
      <c r="V198" t="inlineStr">
        <is>
          <t>2001-10-21</t>
        </is>
      </c>
      <c r="W198" t="inlineStr">
        <is>
          <t>1990-07-30</t>
        </is>
      </c>
      <c r="X198" t="inlineStr">
        <is>
          <t>1990-07-30</t>
        </is>
      </c>
      <c r="Y198" t="n">
        <v>215</v>
      </c>
      <c r="Z198" t="n">
        <v>174</v>
      </c>
      <c r="AA198" t="n">
        <v>668</v>
      </c>
      <c r="AB198" t="n">
        <v>1</v>
      </c>
      <c r="AC198" t="n">
        <v>4</v>
      </c>
      <c r="AD198" t="n">
        <v>12</v>
      </c>
      <c r="AE198" t="n">
        <v>32</v>
      </c>
      <c r="AF198" t="n">
        <v>5</v>
      </c>
      <c r="AG198" t="n">
        <v>11</v>
      </c>
      <c r="AH198" t="n">
        <v>5</v>
      </c>
      <c r="AI198" t="n">
        <v>8</v>
      </c>
      <c r="AJ198" t="n">
        <v>5</v>
      </c>
      <c r="AK198" t="n">
        <v>17</v>
      </c>
      <c r="AL198" t="n">
        <v>0</v>
      </c>
      <c r="AM198" t="n">
        <v>3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HYPERLINK("https://creighton-primo.hosted.exlibrisgroup.com/primo-explore/search?tab=default_tab&amp;search_scope=EVERYTHING&amp;vid=01CRU&amp;lang=en_US&amp;offset=0&amp;query=any,contains,991004675279702656","Catalog Record")</f>
        <v/>
      </c>
      <c r="AT198">
        <f>HYPERLINK("http://www.worldcat.org/oclc/4534479","WorldCat Record")</f>
        <v/>
      </c>
      <c r="AU198" t="inlineStr">
        <is>
          <t>891623:eng</t>
        </is>
      </c>
      <c r="AV198" t="inlineStr">
        <is>
          <t>4534479</t>
        </is>
      </c>
      <c r="AW198" t="inlineStr">
        <is>
          <t>991004675279702656</t>
        </is>
      </c>
      <c r="AX198" t="inlineStr">
        <is>
          <t>991004675279702656</t>
        </is>
      </c>
      <c r="AY198" t="inlineStr">
        <is>
          <t>2271812680002656</t>
        </is>
      </c>
      <c r="AZ198" t="inlineStr">
        <is>
          <t>BOOK</t>
        </is>
      </c>
      <c r="BC198" t="inlineStr">
        <is>
          <t>32285000228782</t>
        </is>
      </c>
      <c r="BD198" t="inlineStr">
        <is>
          <t>893241712</t>
        </is>
      </c>
    </row>
    <row r="199">
      <c r="A199" t="inlineStr">
        <is>
          <t>No</t>
        </is>
      </c>
      <c r="B199" t="inlineStr">
        <is>
          <t>BF173 .W5448 1976</t>
        </is>
      </c>
      <c r="C199" t="inlineStr">
        <is>
          <t>0                      BF 0173000W  5448        1976</t>
        </is>
      </c>
      <c r="D199" t="inlineStr">
        <is>
          <t>The inner world of choice / Frances G. Wickes.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Wickes, Frances G. (Frances Gillespy), 1875-1967.</t>
        </is>
      </c>
      <c r="L199" t="inlineStr">
        <is>
          <t>Englewood Cliffs, N. J. : Prentice-Hall, Inc., 1976, c1963.</t>
        </is>
      </c>
      <c r="M199" t="inlineStr">
        <is>
          <t>1976</t>
        </is>
      </c>
      <c r="O199" t="inlineStr">
        <is>
          <t>eng</t>
        </is>
      </c>
      <c r="P199" t="inlineStr">
        <is>
          <t>nju</t>
        </is>
      </c>
      <c r="R199" t="inlineStr">
        <is>
          <t xml:space="preserve">BF </t>
        </is>
      </c>
      <c r="S199" t="n">
        <v>3</v>
      </c>
      <c r="T199" t="n">
        <v>3</v>
      </c>
      <c r="U199" t="inlineStr">
        <is>
          <t>1993-07-26</t>
        </is>
      </c>
      <c r="V199" t="inlineStr">
        <is>
          <t>1993-07-26</t>
        </is>
      </c>
      <c r="W199" t="inlineStr">
        <is>
          <t>1991-03-11</t>
        </is>
      </c>
      <c r="X199" t="inlineStr">
        <is>
          <t>1991-03-11</t>
        </is>
      </c>
      <c r="Y199" t="n">
        <v>78</v>
      </c>
      <c r="Z199" t="n">
        <v>68</v>
      </c>
      <c r="AA199" t="n">
        <v>453</v>
      </c>
      <c r="AB199" t="n">
        <v>2</v>
      </c>
      <c r="AC199" t="n">
        <v>4</v>
      </c>
      <c r="AD199" t="n">
        <v>4</v>
      </c>
      <c r="AE199" t="n">
        <v>13</v>
      </c>
      <c r="AF199" t="n">
        <v>2</v>
      </c>
      <c r="AG199" t="n">
        <v>5</v>
      </c>
      <c r="AH199" t="n">
        <v>0</v>
      </c>
      <c r="AI199" t="n">
        <v>2</v>
      </c>
      <c r="AJ199" t="n">
        <v>3</v>
      </c>
      <c r="AK199" t="n">
        <v>8</v>
      </c>
      <c r="AL199" t="n">
        <v>0</v>
      </c>
      <c r="AM199" t="n">
        <v>1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HYPERLINK("https://creighton-primo.hosted.exlibrisgroup.com/primo-explore/search?tab=default_tab&amp;search_scope=EVERYTHING&amp;vid=01CRU&amp;lang=en_US&amp;offset=0&amp;query=any,contains,991004212079702656","Catalog Record")</f>
        <v/>
      </c>
      <c r="AT199">
        <f>HYPERLINK("http://www.worldcat.org/oclc/2685348","WorldCat Record")</f>
        <v/>
      </c>
      <c r="AU199" t="inlineStr">
        <is>
          <t>2076508:eng</t>
        </is>
      </c>
      <c r="AV199" t="inlineStr">
        <is>
          <t>2685348</t>
        </is>
      </c>
      <c r="AW199" t="inlineStr">
        <is>
          <t>991004212079702656</t>
        </is>
      </c>
      <c r="AX199" t="inlineStr">
        <is>
          <t>991004212079702656</t>
        </is>
      </c>
      <c r="AY199" t="inlineStr">
        <is>
          <t>2267791300002656</t>
        </is>
      </c>
      <c r="AZ199" t="inlineStr">
        <is>
          <t>BOOK</t>
        </is>
      </c>
      <c r="BB199" t="inlineStr">
        <is>
          <t>9780134660110</t>
        </is>
      </c>
      <c r="BC199" t="inlineStr">
        <is>
          <t>32285000535210</t>
        </is>
      </c>
      <c r="BD199" t="inlineStr">
        <is>
          <t>893612079</t>
        </is>
      </c>
    </row>
    <row r="200">
      <c r="A200" t="inlineStr">
        <is>
          <t>No</t>
        </is>
      </c>
      <c r="B200" t="inlineStr">
        <is>
          <t>BF173.A5483 C7</t>
        </is>
      </c>
      <c r="C200" t="inlineStr">
        <is>
          <t>0                      BF 0173000A  5483               C  7</t>
        </is>
      </c>
      <c r="D200" t="inlineStr">
        <is>
          <t>Theory and measurement of social interest : empirical tests of Alfred Adler's concept / James E. Crandall.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Crandall, James E., 1930-</t>
        </is>
      </c>
      <c r="L200" t="inlineStr">
        <is>
          <t>New York : Columbia University Press, 1981.</t>
        </is>
      </c>
      <c r="M200" t="inlineStr">
        <is>
          <t>1981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BF </t>
        </is>
      </c>
      <c r="S200" t="n">
        <v>4</v>
      </c>
      <c r="T200" t="n">
        <v>4</v>
      </c>
      <c r="U200" t="inlineStr">
        <is>
          <t>2001-09-16</t>
        </is>
      </c>
      <c r="V200" t="inlineStr">
        <is>
          <t>2001-09-16</t>
        </is>
      </c>
      <c r="W200" t="inlineStr">
        <is>
          <t>1990-08-14</t>
        </is>
      </c>
      <c r="X200" t="inlineStr">
        <is>
          <t>1990-08-14</t>
        </is>
      </c>
      <c r="Y200" t="n">
        <v>330</v>
      </c>
      <c r="Z200" t="n">
        <v>270</v>
      </c>
      <c r="AA200" t="n">
        <v>286</v>
      </c>
      <c r="AB200" t="n">
        <v>2</v>
      </c>
      <c r="AC200" t="n">
        <v>2</v>
      </c>
      <c r="AD200" t="n">
        <v>10</v>
      </c>
      <c r="AE200" t="n">
        <v>12</v>
      </c>
      <c r="AF200" t="n">
        <v>2</v>
      </c>
      <c r="AG200" t="n">
        <v>3</v>
      </c>
      <c r="AH200" t="n">
        <v>3</v>
      </c>
      <c r="AI200" t="n">
        <v>4</v>
      </c>
      <c r="AJ200" t="n">
        <v>7</v>
      </c>
      <c r="AK200" t="n">
        <v>7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HYPERLINK("http://catalog.hathitrust.org/Record/000182498","HathiTrust Record")</f>
        <v/>
      </c>
      <c r="AS200">
        <f>HYPERLINK("https://creighton-primo.hosted.exlibrisgroup.com/primo-explore/search?tab=default_tab&amp;search_scope=EVERYTHING&amp;vid=01CRU&amp;lang=en_US&amp;offset=0&amp;query=any,contains,991005126139702656","Catalog Record")</f>
        <v/>
      </c>
      <c r="AT200">
        <f>HYPERLINK("http://www.worldcat.org/oclc/7553706","WorldCat Record")</f>
        <v/>
      </c>
      <c r="AU200" t="inlineStr">
        <is>
          <t>427056782:eng</t>
        </is>
      </c>
      <c r="AV200" t="inlineStr">
        <is>
          <t>7553706</t>
        </is>
      </c>
      <c r="AW200" t="inlineStr">
        <is>
          <t>991005126139702656</t>
        </is>
      </c>
      <c r="AX200" t="inlineStr">
        <is>
          <t>991005126139702656</t>
        </is>
      </c>
      <c r="AY200" t="inlineStr">
        <is>
          <t>2265103940002656</t>
        </is>
      </c>
      <c r="AZ200" t="inlineStr">
        <is>
          <t>BOOK</t>
        </is>
      </c>
      <c r="BB200" t="inlineStr">
        <is>
          <t>9780231052566</t>
        </is>
      </c>
      <c r="BC200" t="inlineStr">
        <is>
          <t>32285000281690</t>
        </is>
      </c>
      <c r="BD200" t="inlineStr">
        <is>
          <t>893533223</t>
        </is>
      </c>
    </row>
    <row r="201">
      <c r="A201" t="inlineStr">
        <is>
          <t>No</t>
        </is>
      </c>
      <c r="B201" t="inlineStr">
        <is>
          <t>BF173.F85 B45 1986</t>
        </is>
      </c>
      <c r="C201" t="inlineStr">
        <is>
          <t>0                      BF 0173000F  85                 B  45          1986</t>
        </is>
      </c>
      <c r="D201" t="inlineStr">
        <is>
          <t>The Freudian body : psychoanalysis and art / Leo Bersani.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Bersani, Leo.</t>
        </is>
      </c>
      <c r="L201" t="inlineStr">
        <is>
          <t>New York : Columbia University Press, 1986.</t>
        </is>
      </c>
      <c r="M201" t="inlineStr">
        <is>
          <t>1986</t>
        </is>
      </c>
      <c r="O201" t="inlineStr">
        <is>
          <t>eng</t>
        </is>
      </c>
      <c r="P201" t="inlineStr">
        <is>
          <t>nyu</t>
        </is>
      </c>
      <c r="R201" t="inlineStr">
        <is>
          <t xml:space="preserve">BF </t>
        </is>
      </c>
      <c r="S201" t="n">
        <v>4</v>
      </c>
      <c r="T201" t="n">
        <v>4</v>
      </c>
      <c r="U201" t="inlineStr">
        <is>
          <t>2004-04-13</t>
        </is>
      </c>
      <c r="V201" t="inlineStr">
        <is>
          <t>2004-04-13</t>
        </is>
      </c>
      <c r="W201" t="inlineStr">
        <is>
          <t>1991-06-11</t>
        </is>
      </c>
      <c r="X201" t="inlineStr">
        <is>
          <t>1991-06-11</t>
        </is>
      </c>
      <c r="Y201" t="n">
        <v>595</v>
      </c>
      <c r="Z201" t="n">
        <v>420</v>
      </c>
      <c r="AA201" t="n">
        <v>420</v>
      </c>
      <c r="AB201" t="n">
        <v>3</v>
      </c>
      <c r="AC201" t="n">
        <v>3</v>
      </c>
      <c r="AD201" t="n">
        <v>22</v>
      </c>
      <c r="AE201" t="n">
        <v>22</v>
      </c>
      <c r="AF201" t="n">
        <v>6</v>
      </c>
      <c r="AG201" t="n">
        <v>6</v>
      </c>
      <c r="AH201" t="n">
        <v>8</v>
      </c>
      <c r="AI201" t="n">
        <v>8</v>
      </c>
      <c r="AJ201" t="n">
        <v>11</v>
      </c>
      <c r="AK201" t="n">
        <v>11</v>
      </c>
      <c r="AL201" t="n">
        <v>2</v>
      </c>
      <c r="AM201" t="n">
        <v>2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HYPERLINK("https://creighton-primo.hosted.exlibrisgroup.com/primo-explore/search?tab=default_tab&amp;search_scope=EVERYTHING&amp;vid=01CRU&amp;lang=en_US&amp;offset=0&amp;query=any,contains,991000700469702656","Catalog Record")</f>
        <v/>
      </c>
      <c r="AT201">
        <f>HYPERLINK("http://www.worldcat.org/oclc/12549177","WorldCat Record")</f>
        <v/>
      </c>
      <c r="AU201" t="inlineStr">
        <is>
          <t>836666915:eng</t>
        </is>
      </c>
      <c r="AV201" t="inlineStr">
        <is>
          <t>12549177</t>
        </is>
      </c>
      <c r="AW201" t="inlineStr">
        <is>
          <t>991000700469702656</t>
        </is>
      </c>
      <c r="AX201" t="inlineStr">
        <is>
          <t>991000700469702656</t>
        </is>
      </c>
      <c r="AY201" t="inlineStr">
        <is>
          <t>2263596740002656</t>
        </is>
      </c>
      <c r="AZ201" t="inlineStr">
        <is>
          <t>BOOK</t>
        </is>
      </c>
      <c r="BB201" t="inlineStr">
        <is>
          <t>9780231062190</t>
        </is>
      </c>
      <c r="BC201" t="inlineStr">
        <is>
          <t>32285000594142</t>
        </is>
      </c>
      <c r="BD201" t="inlineStr">
        <is>
          <t>893315161</t>
        </is>
      </c>
    </row>
    <row r="202">
      <c r="A202" t="inlineStr">
        <is>
          <t>No</t>
        </is>
      </c>
      <c r="B202" t="inlineStr">
        <is>
          <t>BF173.F85 D6 1988</t>
        </is>
      </c>
      <c r="C202" t="inlineStr">
        <is>
          <t>0                      BF 0173000F  85                 D  6           1988</t>
        </is>
      </c>
      <c r="D202" t="inlineStr">
        <is>
          <t>Freud and Jung : years of friendship, years of loss / Linda Donn.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Donn, Linda.</t>
        </is>
      </c>
      <c r="L202" t="inlineStr">
        <is>
          <t>New York : Scribner, c1988.</t>
        </is>
      </c>
      <c r="M202" t="inlineStr">
        <is>
          <t>1988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BF </t>
        </is>
      </c>
      <c r="S202" t="n">
        <v>5</v>
      </c>
      <c r="T202" t="n">
        <v>5</v>
      </c>
      <c r="U202" t="inlineStr">
        <is>
          <t>1999-03-23</t>
        </is>
      </c>
      <c r="V202" t="inlineStr">
        <is>
          <t>1999-03-23</t>
        </is>
      </c>
      <c r="W202" t="inlineStr">
        <is>
          <t>1991-07-16</t>
        </is>
      </c>
      <c r="X202" t="inlineStr">
        <is>
          <t>1991-07-16</t>
        </is>
      </c>
      <c r="Y202" t="n">
        <v>872</v>
      </c>
      <c r="Z202" t="n">
        <v>796</v>
      </c>
      <c r="AA202" t="n">
        <v>837</v>
      </c>
      <c r="AB202" t="n">
        <v>6</v>
      </c>
      <c r="AC202" t="n">
        <v>6</v>
      </c>
      <c r="AD202" t="n">
        <v>24</v>
      </c>
      <c r="AE202" t="n">
        <v>24</v>
      </c>
      <c r="AF202" t="n">
        <v>12</v>
      </c>
      <c r="AG202" t="n">
        <v>12</v>
      </c>
      <c r="AH202" t="n">
        <v>4</v>
      </c>
      <c r="AI202" t="n">
        <v>4</v>
      </c>
      <c r="AJ202" t="n">
        <v>9</v>
      </c>
      <c r="AK202" t="n">
        <v>9</v>
      </c>
      <c r="AL202" t="n">
        <v>5</v>
      </c>
      <c r="AM202" t="n">
        <v>5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HYPERLINK("https://creighton-primo.hosted.exlibrisgroup.com/primo-explore/search?tab=default_tab&amp;search_scope=EVERYTHING&amp;vid=01CRU&amp;lang=en_US&amp;offset=0&amp;query=any,contains,991001312129702656","Catalog Record")</f>
        <v/>
      </c>
      <c r="AT202">
        <f>HYPERLINK("http://www.worldcat.org/oclc/18162374","WorldCat Record")</f>
        <v/>
      </c>
      <c r="AU202" t="inlineStr">
        <is>
          <t>16507113:eng</t>
        </is>
      </c>
      <c r="AV202" t="inlineStr">
        <is>
          <t>18162374</t>
        </is>
      </c>
      <c r="AW202" t="inlineStr">
        <is>
          <t>991001312129702656</t>
        </is>
      </c>
      <c r="AX202" t="inlineStr">
        <is>
          <t>991001312129702656</t>
        </is>
      </c>
      <c r="AY202" t="inlineStr">
        <is>
          <t>2260023640002656</t>
        </is>
      </c>
      <c r="AZ202" t="inlineStr">
        <is>
          <t>BOOK</t>
        </is>
      </c>
      <c r="BB202" t="inlineStr">
        <is>
          <t>9780684189628</t>
        </is>
      </c>
      <c r="BC202" t="inlineStr">
        <is>
          <t>32285000675628</t>
        </is>
      </c>
      <c r="BD202" t="inlineStr">
        <is>
          <t>893522490</t>
        </is>
      </c>
    </row>
    <row r="203">
      <c r="A203" t="inlineStr">
        <is>
          <t>No</t>
        </is>
      </c>
      <c r="B203" t="inlineStr">
        <is>
          <t>BF173.F85 D66 1982</t>
        </is>
      </c>
      <c r="C203" t="inlineStr">
        <is>
          <t>0                      BF 0173000F  85                 D  66          1982</t>
        </is>
      </c>
      <c r="D203" t="inlineStr">
        <is>
          <t>Freud's odyssey : psychoanalysis and the end of metaphysics / Stan Draenos.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Draenos, Stan, 1945-</t>
        </is>
      </c>
      <c r="L203" t="inlineStr">
        <is>
          <t>New Haven : Yale University Press, c1982.</t>
        </is>
      </c>
      <c r="M203" t="inlineStr">
        <is>
          <t>1982</t>
        </is>
      </c>
      <c r="O203" t="inlineStr">
        <is>
          <t>eng</t>
        </is>
      </c>
      <c r="P203" t="inlineStr">
        <is>
          <t>ctu</t>
        </is>
      </c>
      <c r="R203" t="inlineStr">
        <is>
          <t xml:space="preserve">BF </t>
        </is>
      </c>
      <c r="S203" t="n">
        <v>2</v>
      </c>
      <c r="T203" t="n">
        <v>2</v>
      </c>
      <c r="U203" t="inlineStr">
        <is>
          <t>2002-06-10</t>
        </is>
      </c>
      <c r="V203" t="inlineStr">
        <is>
          <t>2002-06-10</t>
        </is>
      </c>
      <c r="W203" t="inlineStr">
        <is>
          <t>1990-08-14</t>
        </is>
      </c>
      <c r="X203" t="inlineStr">
        <is>
          <t>1990-08-14</t>
        </is>
      </c>
      <c r="Y203" t="n">
        <v>337</v>
      </c>
      <c r="Z203" t="n">
        <v>273</v>
      </c>
      <c r="AA203" t="n">
        <v>273</v>
      </c>
      <c r="AB203" t="n">
        <v>4</v>
      </c>
      <c r="AC203" t="n">
        <v>4</v>
      </c>
      <c r="AD203" t="n">
        <v>19</v>
      </c>
      <c r="AE203" t="n">
        <v>19</v>
      </c>
      <c r="AF203" t="n">
        <v>6</v>
      </c>
      <c r="AG203" t="n">
        <v>6</v>
      </c>
      <c r="AH203" t="n">
        <v>4</v>
      </c>
      <c r="AI203" t="n">
        <v>4</v>
      </c>
      <c r="AJ203" t="n">
        <v>12</v>
      </c>
      <c r="AK203" t="n">
        <v>12</v>
      </c>
      <c r="AL203" t="n">
        <v>2</v>
      </c>
      <c r="AM203" t="n">
        <v>2</v>
      </c>
      <c r="AN203" t="n">
        <v>0</v>
      </c>
      <c r="AO203" t="n">
        <v>0</v>
      </c>
      <c r="AP203" t="inlineStr">
        <is>
          <t>No</t>
        </is>
      </c>
      <c r="AQ203" t="inlineStr">
        <is>
          <t>No</t>
        </is>
      </c>
      <c r="AS203">
        <f>HYPERLINK("https://creighton-primo.hosted.exlibrisgroup.com/primo-explore/search?tab=default_tab&amp;search_scope=EVERYTHING&amp;vid=01CRU&amp;lang=en_US&amp;offset=0&amp;query=any,contains,991005211989702656","Catalog Record")</f>
        <v/>
      </c>
      <c r="AT203">
        <f>HYPERLINK("http://www.worldcat.org/oclc/8169995","WorldCat Record")</f>
        <v/>
      </c>
      <c r="AU203" t="inlineStr">
        <is>
          <t>365161902:eng</t>
        </is>
      </c>
      <c r="AV203" t="inlineStr">
        <is>
          <t>8169995</t>
        </is>
      </c>
      <c r="AW203" t="inlineStr">
        <is>
          <t>991005211989702656</t>
        </is>
      </c>
      <c r="AX203" t="inlineStr">
        <is>
          <t>991005211989702656</t>
        </is>
      </c>
      <c r="AY203" t="inlineStr">
        <is>
          <t>2269604760002656</t>
        </is>
      </c>
      <c r="AZ203" t="inlineStr">
        <is>
          <t>BOOK</t>
        </is>
      </c>
      <c r="BB203" t="inlineStr">
        <is>
          <t>9780300027914</t>
        </is>
      </c>
      <c r="BC203" t="inlineStr">
        <is>
          <t>32285000282037</t>
        </is>
      </c>
      <c r="BD203" t="inlineStr">
        <is>
          <t>893713643</t>
        </is>
      </c>
    </row>
    <row r="204">
      <c r="A204" t="inlineStr">
        <is>
          <t>No</t>
        </is>
      </c>
      <c r="B204" t="inlineStr">
        <is>
          <t>BF173.F85 F55</t>
        </is>
      </c>
      <c r="C204" t="inlineStr">
        <is>
          <t>0                      BF 0173000F  85                 F  55</t>
        </is>
      </c>
      <c r="D204" t="inlineStr">
        <is>
          <t>The scientific credibility of Freud's theories and therapy / Seymour Fisher &amp; Roger P. Greenberg.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Fisher, Seymour.</t>
        </is>
      </c>
      <c r="L204" t="inlineStr">
        <is>
          <t>New York : Basic Books, c1977.</t>
        </is>
      </c>
      <c r="M204" t="inlineStr">
        <is>
          <t>1977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BF </t>
        </is>
      </c>
      <c r="S204" t="n">
        <v>1</v>
      </c>
      <c r="T204" t="n">
        <v>1</v>
      </c>
      <c r="U204" t="inlineStr">
        <is>
          <t>2006-11-27</t>
        </is>
      </c>
      <c r="V204" t="inlineStr">
        <is>
          <t>2006-11-27</t>
        </is>
      </c>
      <c r="W204" t="inlineStr">
        <is>
          <t>1996-07-24</t>
        </is>
      </c>
      <c r="X204" t="inlineStr">
        <is>
          <t>1996-07-24</t>
        </is>
      </c>
      <c r="Y204" t="n">
        <v>801</v>
      </c>
      <c r="Z204" t="n">
        <v>709</v>
      </c>
      <c r="AA204" t="n">
        <v>909</v>
      </c>
      <c r="AB204" t="n">
        <v>6</v>
      </c>
      <c r="AC204" t="n">
        <v>7</v>
      </c>
      <c r="AD204" t="n">
        <v>32</v>
      </c>
      <c r="AE204" t="n">
        <v>43</v>
      </c>
      <c r="AF204" t="n">
        <v>13</v>
      </c>
      <c r="AG204" t="n">
        <v>20</v>
      </c>
      <c r="AH204" t="n">
        <v>7</v>
      </c>
      <c r="AI204" t="n">
        <v>8</v>
      </c>
      <c r="AJ204" t="n">
        <v>15</v>
      </c>
      <c r="AK204" t="n">
        <v>21</v>
      </c>
      <c r="AL204" t="n">
        <v>4</v>
      </c>
      <c r="AM204" t="n">
        <v>5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S204">
        <f>HYPERLINK("https://creighton-primo.hosted.exlibrisgroup.com/primo-explore/search?tab=default_tab&amp;search_scope=EVERYTHING&amp;vid=01CRU&amp;lang=en_US&amp;offset=0&amp;query=any,contains,991004197109702656","Catalog Record")</f>
        <v/>
      </c>
      <c r="AT204">
        <f>HYPERLINK("http://www.worldcat.org/oclc/2645180","WorldCat Record")</f>
        <v/>
      </c>
      <c r="AU204" t="inlineStr">
        <is>
          <t>1061393:eng</t>
        </is>
      </c>
      <c r="AV204" t="inlineStr">
        <is>
          <t>2645180</t>
        </is>
      </c>
      <c r="AW204" t="inlineStr">
        <is>
          <t>991004197109702656</t>
        </is>
      </c>
      <c r="AX204" t="inlineStr">
        <is>
          <t>991004197109702656</t>
        </is>
      </c>
      <c r="AY204" t="inlineStr">
        <is>
          <t>2256739790002656</t>
        </is>
      </c>
      <c r="AZ204" t="inlineStr">
        <is>
          <t>BOOK</t>
        </is>
      </c>
      <c r="BB204" t="inlineStr">
        <is>
          <t>9780465073856</t>
        </is>
      </c>
      <c r="BC204" t="inlineStr">
        <is>
          <t>32285002235660</t>
        </is>
      </c>
      <c r="BD204" t="inlineStr">
        <is>
          <t>893718610</t>
        </is>
      </c>
    </row>
    <row r="205">
      <c r="A205" t="inlineStr">
        <is>
          <t>No</t>
        </is>
      </c>
      <c r="B205" t="inlineStr">
        <is>
          <t>BF173.F85 F745</t>
        </is>
      </c>
      <c r="C205" t="inlineStr">
        <is>
          <t>0                      BF 0173000F  85                 F  745</t>
        </is>
      </c>
      <c r="D205" t="inlineStr">
        <is>
          <t>The Freudian paradigm : psychoanalysis and scientific thought / [compiled by] Mujeeb-ur-Rahman, Md. --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L205" t="inlineStr">
        <is>
          <t>Chicago : Nelson-Hall, 1977.</t>
        </is>
      </c>
      <c r="M205" t="inlineStr">
        <is>
          <t>1977</t>
        </is>
      </c>
      <c r="O205" t="inlineStr">
        <is>
          <t>eng</t>
        </is>
      </c>
      <c r="P205" t="inlineStr">
        <is>
          <t>ilu</t>
        </is>
      </c>
      <c r="R205" t="inlineStr">
        <is>
          <t xml:space="preserve">BF </t>
        </is>
      </c>
      <c r="S205" t="n">
        <v>3</v>
      </c>
      <c r="T205" t="n">
        <v>3</v>
      </c>
      <c r="U205" t="inlineStr">
        <is>
          <t>2000-11-15</t>
        </is>
      </c>
      <c r="V205" t="inlineStr">
        <is>
          <t>2000-11-15</t>
        </is>
      </c>
      <c r="W205" t="inlineStr">
        <is>
          <t>1990-05-24</t>
        </is>
      </c>
      <c r="X205" t="inlineStr">
        <is>
          <t>1990-05-24</t>
        </is>
      </c>
      <c r="Y205" t="n">
        <v>444</v>
      </c>
      <c r="Z205" t="n">
        <v>388</v>
      </c>
      <c r="AA205" t="n">
        <v>397</v>
      </c>
      <c r="AB205" t="n">
        <v>3</v>
      </c>
      <c r="AC205" t="n">
        <v>4</v>
      </c>
      <c r="AD205" t="n">
        <v>15</v>
      </c>
      <c r="AE205" t="n">
        <v>16</v>
      </c>
      <c r="AF205" t="n">
        <v>6</v>
      </c>
      <c r="AG205" t="n">
        <v>6</v>
      </c>
      <c r="AH205" t="n">
        <v>2</v>
      </c>
      <c r="AI205" t="n">
        <v>2</v>
      </c>
      <c r="AJ205" t="n">
        <v>7</v>
      </c>
      <c r="AK205" t="n">
        <v>7</v>
      </c>
      <c r="AL205" t="n">
        <v>2</v>
      </c>
      <c r="AM205" t="n">
        <v>3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HYPERLINK("http://catalog.hathitrust.org/Record/000171224","HathiTrust Record")</f>
        <v/>
      </c>
      <c r="AS205">
        <f>HYPERLINK("https://creighton-primo.hosted.exlibrisgroup.com/primo-explore/search?tab=default_tab&amp;search_scope=EVERYTHING&amp;vid=01CRU&amp;lang=en_US&amp;offset=0&amp;query=any,contains,991004220079702656","Catalog Record")</f>
        <v/>
      </c>
      <c r="AT205">
        <f>HYPERLINK("http://www.worldcat.org/oclc/2709576","WorldCat Record")</f>
        <v/>
      </c>
      <c r="AU205" t="inlineStr">
        <is>
          <t>556633:eng</t>
        </is>
      </c>
      <c r="AV205" t="inlineStr">
        <is>
          <t>2709576</t>
        </is>
      </c>
      <c r="AW205" t="inlineStr">
        <is>
          <t>991004220079702656</t>
        </is>
      </c>
      <c r="AX205" t="inlineStr">
        <is>
          <t>991004220079702656</t>
        </is>
      </c>
      <c r="AY205" t="inlineStr">
        <is>
          <t>2262072970002656</t>
        </is>
      </c>
      <c r="AZ205" t="inlineStr">
        <is>
          <t>BOOK</t>
        </is>
      </c>
      <c r="BB205" t="inlineStr">
        <is>
          <t>9780911012897</t>
        </is>
      </c>
      <c r="BC205" t="inlineStr">
        <is>
          <t>32285000165992</t>
        </is>
      </c>
      <c r="BD205" t="inlineStr">
        <is>
          <t>893806810</t>
        </is>
      </c>
    </row>
    <row r="206">
      <c r="A206" t="inlineStr">
        <is>
          <t>No</t>
        </is>
      </c>
      <c r="B206" t="inlineStr">
        <is>
          <t>BF173.F85 F753 1980</t>
        </is>
      </c>
      <c r="C206" t="inlineStr">
        <is>
          <t>0                      BF 0173000F  85                 F  753         1980</t>
        </is>
      </c>
      <c r="D206" t="inlineStr">
        <is>
          <t>Greatness and limitations of Freud's thought / Erich Fromm.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Fromm, Erich, 1900-1980.</t>
        </is>
      </c>
      <c r="L206" t="inlineStr">
        <is>
          <t>New York : Harper &amp; Row, c1980.</t>
        </is>
      </c>
      <c r="M206" t="inlineStr">
        <is>
          <t>1980</t>
        </is>
      </c>
      <c r="N206" t="inlineStr">
        <is>
          <t>1st ed.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BF </t>
        </is>
      </c>
      <c r="S206" t="n">
        <v>3</v>
      </c>
      <c r="T206" t="n">
        <v>3</v>
      </c>
      <c r="U206" t="inlineStr">
        <is>
          <t>1993-11-01</t>
        </is>
      </c>
      <c r="V206" t="inlineStr">
        <is>
          <t>1993-11-01</t>
        </is>
      </c>
      <c r="W206" t="inlineStr">
        <is>
          <t>1991-07-16</t>
        </is>
      </c>
      <c r="X206" t="inlineStr">
        <is>
          <t>1991-07-16</t>
        </is>
      </c>
      <c r="Y206" t="n">
        <v>1181</v>
      </c>
      <c r="Z206" t="n">
        <v>1071</v>
      </c>
      <c r="AA206" t="n">
        <v>1365</v>
      </c>
      <c r="AB206" t="n">
        <v>5</v>
      </c>
      <c r="AC206" t="n">
        <v>7</v>
      </c>
      <c r="AD206" t="n">
        <v>33</v>
      </c>
      <c r="AE206" t="n">
        <v>40</v>
      </c>
      <c r="AF206" t="n">
        <v>15</v>
      </c>
      <c r="AG206" t="n">
        <v>20</v>
      </c>
      <c r="AH206" t="n">
        <v>8</v>
      </c>
      <c r="AI206" t="n">
        <v>8</v>
      </c>
      <c r="AJ206" t="n">
        <v>17</v>
      </c>
      <c r="AK206" t="n">
        <v>18</v>
      </c>
      <c r="AL206" t="n">
        <v>3</v>
      </c>
      <c r="AM206" t="n">
        <v>5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HYPERLINK("http://catalog.hathitrust.org/Record/000708694","HathiTrust Record")</f>
        <v/>
      </c>
      <c r="AS206">
        <f>HYPERLINK("https://creighton-primo.hosted.exlibrisgroup.com/primo-explore/search?tab=default_tab&amp;search_scope=EVERYTHING&amp;vid=01CRU&amp;lang=en_US&amp;offset=0&amp;query=any,contains,991004914429702656","Catalog Record")</f>
        <v/>
      </c>
      <c r="AT206">
        <f>HYPERLINK("http://www.worldcat.org/oclc/6014895","WorldCat Record")</f>
        <v/>
      </c>
      <c r="AU206" t="inlineStr">
        <is>
          <t>1151717931:eng</t>
        </is>
      </c>
      <c r="AV206" t="inlineStr">
        <is>
          <t>6014895</t>
        </is>
      </c>
      <c r="AW206" t="inlineStr">
        <is>
          <t>991004914429702656</t>
        </is>
      </c>
      <c r="AX206" t="inlineStr">
        <is>
          <t>991004914429702656</t>
        </is>
      </c>
      <c r="AY206" t="inlineStr">
        <is>
          <t>2267093890002656</t>
        </is>
      </c>
      <c r="AZ206" t="inlineStr">
        <is>
          <t>BOOK</t>
        </is>
      </c>
      <c r="BB206" t="inlineStr">
        <is>
          <t>9780060113896</t>
        </is>
      </c>
      <c r="BC206" t="inlineStr">
        <is>
          <t>32285000675636</t>
        </is>
      </c>
      <c r="BD206" t="inlineStr">
        <is>
          <t>893619209</t>
        </is>
      </c>
    </row>
    <row r="207">
      <c r="A207" t="inlineStr">
        <is>
          <t>No</t>
        </is>
      </c>
      <c r="B207" t="inlineStr">
        <is>
          <t>BF173.F85 K5913 1988</t>
        </is>
      </c>
      <c r="C207" t="inlineStr">
        <is>
          <t>0                      BF 0173000F  85                 K  5913        1988</t>
        </is>
      </c>
      <c r="D207" t="inlineStr">
        <is>
          <t>The childhood of art : an interpretation of Freud's aesthetics / Sarah Kofman ; translated by Winifred Woodhull.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Kofman, Sarah.</t>
        </is>
      </c>
      <c r="L207" t="inlineStr">
        <is>
          <t>New York : Columbia University Press, 1988.</t>
        </is>
      </c>
      <c r="M207" t="inlineStr">
        <is>
          <t>1988</t>
        </is>
      </c>
      <c r="O207" t="inlineStr">
        <is>
          <t>eng</t>
        </is>
      </c>
      <c r="P207" t="inlineStr">
        <is>
          <t>nyu</t>
        </is>
      </c>
      <c r="Q207" t="inlineStr">
        <is>
          <t>European perspectives</t>
        </is>
      </c>
      <c r="R207" t="inlineStr">
        <is>
          <t xml:space="preserve">BF </t>
        </is>
      </c>
      <c r="S207" t="n">
        <v>2</v>
      </c>
      <c r="T207" t="n">
        <v>2</v>
      </c>
      <c r="U207" t="inlineStr">
        <is>
          <t>2002-06-10</t>
        </is>
      </c>
      <c r="V207" t="inlineStr">
        <is>
          <t>2002-06-10</t>
        </is>
      </c>
      <c r="W207" t="inlineStr">
        <is>
          <t>1991-01-25</t>
        </is>
      </c>
      <c r="X207" t="inlineStr">
        <is>
          <t>1991-01-25</t>
        </is>
      </c>
      <c r="Y207" t="n">
        <v>418</v>
      </c>
      <c r="Z207" t="n">
        <v>321</v>
      </c>
      <c r="AA207" t="n">
        <v>321</v>
      </c>
      <c r="AB207" t="n">
        <v>3</v>
      </c>
      <c r="AC207" t="n">
        <v>3</v>
      </c>
      <c r="AD207" t="n">
        <v>15</v>
      </c>
      <c r="AE207" t="n">
        <v>15</v>
      </c>
      <c r="AF207" t="n">
        <v>4</v>
      </c>
      <c r="AG207" t="n">
        <v>4</v>
      </c>
      <c r="AH207" t="n">
        <v>3</v>
      </c>
      <c r="AI207" t="n">
        <v>3</v>
      </c>
      <c r="AJ207" t="n">
        <v>10</v>
      </c>
      <c r="AK207" t="n">
        <v>10</v>
      </c>
      <c r="AL207" t="n">
        <v>2</v>
      </c>
      <c r="AM207" t="n">
        <v>2</v>
      </c>
      <c r="AN207" t="n">
        <v>0</v>
      </c>
      <c r="AO207" t="n">
        <v>0</v>
      </c>
      <c r="AP207" t="inlineStr">
        <is>
          <t>No</t>
        </is>
      </c>
      <c r="AQ207" t="inlineStr">
        <is>
          <t>No</t>
        </is>
      </c>
      <c r="AS207">
        <f>HYPERLINK("https://creighton-primo.hosted.exlibrisgroup.com/primo-explore/search?tab=default_tab&amp;search_scope=EVERYTHING&amp;vid=01CRU&amp;lang=en_US&amp;offset=0&amp;query=any,contains,991001138189702656","Catalog Record")</f>
        <v/>
      </c>
      <c r="AT207">
        <f>HYPERLINK("http://www.worldcat.org/oclc/16718686","WorldCat Record")</f>
        <v/>
      </c>
      <c r="AU207" t="inlineStr">
        <is>
          <t>3901058173:eng</t>
        </is>
      </c>
      <c r="AV207" t="inlineStr">
        <is>
          <t>16718686</t>
        </is>
      </c>
      <c r="AW207" t="inlineStr">
        <is>
          <t>991001138189702656</t>
        </is>
      </c>
      <c r="AX207" t="inlineStr">
        <is>
          <t>991001138189702656</t>
        </is>
      </c>
      <c r="AY207" t="inlineStr">
        <is>
          <t>2254795370002656</t>
        </is>
      </c>
      <c r="AZ207" t="inlineStr">
        <is>
          <t>BOOK</t>
        </is>
      </c>
      <c r="BB207" t="inlineStr">
        <is>
          <t>9780231063128</t>
        </is>
      </c>
      <c r="BC207" t="inlineStr">
        <is>
          <t>32285000460872</t>
        </is>
      </c>
      <c r="BD207" t="inlineStr">
        <is>
          <t>893791200</t>
        </is>
      </c>
    </row>
    <row r="208">
      <c r="A208" t="inlineStr">
        <is>
          <t>No</t>
        </is>
      </c>
      <c r="B208" t="inlineStr">
        <is>
          <t>BF173.F85 M226 1986</t>
        </is>
      </c>
      <c r="C208" t="inlineStr">
        <is>
          <t>0                      BF 0173000F  85                 M  226         1986</t>
        </is>
      </c>
      <c r="D208" t="inlineStr">
        <is>
          <t>Freud's discovery of psychoanalysis : the politics of hysteria / William J. McGrath.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McGrath, William J., 1937-2008.</t>
        </is>
      </c>
      <c r="L208" t="inlineStr">
        <is>
          <t>Ithaca : Cornell University Press, c1986.</t>
        </is>
      </c>
      <c r="M208" t="inlineStr">
        <is>
          <t>1986</t>
        </is>
      </c>
      <c r="O208" t="inlineStr">
        <is>
          <t>eng</t>
        </is>
      </c>
      <c r="P208" t="inlineStr">
        <is>
          <t>nyu</t>
        </is>
      </c>
      <c r="R208" t="inlineStr">
        <is>
          <t xml:space="preserve">BF </t>
        </is>
      </c>
      <c r="S208" t="n">
        <v>5</v>
      </c>
      <c r="T208" t="n">
        <v>5</v>
      </c>
      <c r="U208" t="inlineStr">
        <is>
          <t>1993-11-01</t>
        </is>
      </c>
      <c r="V208" t="inlineStr">
        <is>
          <t>1993-11-01</t>
        </is>
      </c>
      <c r="W208" t="inlineStr">
        <is>
          <t>1990-08-15</t>
        </is>
      </c>
      <c r="X208" t="inlineStr">
        <is>
          <t>1990-08-15</t>
        </is>
      </c>
      <c r="Y208" t="n">
        <v>999</v>
      </c>
      <c r="Z208" t="n">
        <v>877</v>
      </c>
      <c r="AA208" t="n">
        <v>886</v>
      </c>
      <c r="AB208" t="n">
        <v>6</v>
      </c>
      <c r="AC208" t="n">
        <v>6</v>
      </c>
      <c r="AD208" t="n">
        <v>35</v>
      </c>
      <c r="AE208" t="n">
        <v>35</v>
      </c>
      <c r="AF208" t="n">
        <v>11</v>
      </c>
      <c r="AG208" t="n">
        <v>11</v>
      </c>
      <c r="AH208" t="n">
        <v>9</v>
      </c>
      <c r="AI208" t="n">
        <v>9</v>
      </c>
      <c r="AJ208" t="n">
        <v>18</v>
      </c>
      <c r="AK208" t="n">
        <v>18</v>
      </c>
      <c r="AL208" t="n">
        <v>5</v>
      </c>
      <c r="AM208" t="n">
        <v>5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HYPERLINK("http://catalog.hathitrust.org/Record/000616199","HathiTrust Record")</f>
        <v/>
      </c>
      <c r="AS208">
        <f>HYPERLINK("https://creighton-primo.hosted.exlibrisgroup.com/primo-explore/search?tab=default_tab&amp;search_scope=EVERYTHING&amp;vid=01CRU&amp;lang=en_US&amp;offset=0&amp;query=any,contains,991000731699702656","Catalog Record")</f>
        <v/>
      </c>
      <c r="AT208">
        <f>HYPERLINK("http://www.worldcat.org/oclc/12724799","WorldCat Record")</f>
        <v/>
      </c>
      <c r="AU208" t="inlineStr">
        <is>
          <t>5553715:eng</t>
        </is>
      </c>
      <c r="AV208" t="inlineStr">
        <is>
          <t>12724799</t>
        </is>
      </c>
      <c r="AW208" t="inlineStr">
        <is>
          <t>991000731699702656</t>
        </is>
      </c>
      <c r="AX208" t="inlineStr">
        <is>
          <t>991000731699702656</t>
        </is>
      </c>
      <c r="AY208" t="inlineStr">
        <is>
          <t>2266830060002656</t>
        </is>
      </c>
      <c r="AZ208" t="inlineStr">
        <is>
          <t>BOOK</t>
        </is>
      </c>
      <c r="BB208" t="inlineStr">
        <is>
          <t>9780801417702</t>
        </is>
      </c>
      <c r="BC208" t="inlineStr">
        <is>
          <t>32285000282573</t>
        </is>
      </c>
      <c r="BD208" t="inlineStr">
        <is>
          <t>893339836</t>
        </is>
      </c>
    </row>
    <row r="209">
      <c r="A209" t="inlineStr">
        <is>
          <t>No</t>
        </is>
      </c>
      <c r="B209" t="inlineStr">
        <is>
          <t>BF173.F85 M293 1984</t>
        </is>
      </c>
      <c r="C209" t="inlineStr">
        <is>
          <t>0                      BF 0173000F  85                 M  293         1984</t>
        </is>
      </c>
      <c r="D209" t="inlineStr">
        <is>
          <t>Freud and the culture of psychoanalysis : studies in the transition from Victorian humanism to modernity / Steven Marcus.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Marcus, Steven, 1928-2018.</t>
        </is>
      </c>
      <c r="L209" t="inlineStr">
        <is>
          <t>Boston : G. Allen &amp; Unwin, 1984.</t>
        </is>
      </c>
      <c r="M209" t="inlineStr">
        <is>
          <t>1984</t>
        </is>
      </c>
      <c r="O209" t="inlineStr">
        <is>
          <t>eng</t>
        </is>
      </c>
      <c r="P209" t="inlineStr">
        <is>
          <t>mau</t>
        </is>
      </c>
      <c r="R209" t="inlineStr">
        <is>
          <t xml:space="preserve">BF </t>
        </is>
      </c>
      <c r="S209" t="n">
        <v>3</v>
      </c>
      <c r="T209" t="n">
        <v>3</v>
      </c>
      <c r="U209" t="inlineStr">
        <is>
          <t>2005-04-22</t>
        </is>
      </c>
      <c r="V209" t="inlineStr">
        <is>
          <t>2005-04-22</t>
        </is>
      </c>
      <c r="W209" t="inlineStr">
        <is>
          <t>1990-08-15</t>
        </is>
      </c>
      <c r="X209" t="inlineStr">
        <is>
          <t>1990-08-15</t>
        </is>
      </c>
      <c r="Y209" t="n">
        <v>452</v>
      </c>
      <c r="Z209" t="n">
        <v>356</v>
      </c>
      <c r="AA209" t="n">
        <v>432</v>
      </c>
      <c r="AB209" t="n">
        <v>2</v>
      </c>
      <c r="AC209" t="n">
        <v>2</v>
      </c>
      <c r="AD209" t="n">
        <v>16</v>
      </c>
      <c r="AE209" t="n">
        <v>19</v>
      </c>
      <c r="AF209" t="n">
        <v>5</v>
      </c>
      <c r="AG209" t="n">
        <v>5</v>
      </c>
      <c r="AH209" t="n">
        <v>5</v>
      </c>
      <c r="AI209" t="n">
        <v>6</v>
      </c>
      <c r="AJ209" t="n">
        <v>10</v>
      </c>
      <c r="AK209" t="n">
        <v>13</v>
      </c>
      <c r="AL209" t="n">
        <v>1</v>
      </c>
      <c r="AM209" t="n">
        <v>1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HYPERLINK("https://creighton-primo.hosted.exlibrisgroup.com/primo-explore/search?tab=default_tab&amp;search_scope=EVERYTHING&amp;vid=01CRU&amp;lang=en_US&amp;offset=0&amp;query=any,contains,991000347959702656","Catalog Record")</f>
        <v/>
      </c>
      <c r="AT209">
        <f>HYPERLINK("http://www.worldcat.org/oclc/10299208","WorldCat Record")</f>
        <v/>
      </c>
      <c r="AU209" t="inlineStr">
        <is>
          <t>3773180:eng</t>
        </is>
      </c>
      <c r="AV209" t="inlineStr">
        <is>
          <t>10299208</t>
        </is>
      </c>
      <c r="AW209" t="inlineStr">
        <is>
          <t>991000347959702656</t>
        </is>
      </c>
      <c r="AX209" t="inlineStr">
        <is>
          <t>991000347959702656</t>
        </is>
      </c>
      <c r="AY209" t="inlineStr">
        <is>
          <t>2255245630002656</t>
        </is>
      </c>
      <c r="AZ209" t="inlineStr">
        <is>
          <t>BOOK</t>
        </is>
      </c>
      <c r="BB209" t="inlineStr">
        <is>
          <t>9780048000187</t>
        </is>
      </c>
      <c r="BC209" t="inlineStr">
        <is>
          <t>32285000282599</t>
        </is>
      </c>
      <c r="BD209" t="inlineStr">
        <is>
          <t>893777864</t>
        </is>
      </c>
    </row>
    <row r="210">
      <c r="A210" t="inlineStr">
        <is>
          <t>No</t>
        </is>
      </c>
      <c r="B210" t="inlineStr">
        <is>
          <t>BF173.F85 M32 1984</t>
        </is>
      </c>
      <c r="C210" t="inlineStr">
        <is>
          <t>0                      BF 0173000F  85                 M  32          1984</t>
        </is>
      </c>
      <c r="D210" t="inlineStr">
        <is>
          <t>The assault on truth : Freud's suppression of the seduction theory / by Jeffrey Moussaieff Masson.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Masson, J. Moussaieff (Jeffrey Moussaieff), 1941-</t>
        </is>
      </c>
      <c r="L210" t="inlineStr">
        <is>
          <t>New York : Farrar, Straus and Giroux, c1984.</t>
        </is>
      </c>
      <c r="M210" t="inlineStr">
        <is>
          <t>1983</t>
        </is>
      </c>
      <c r="O210" t="inlineStr">
        <is>
          <t>eng</t>
        </is>
      </c>
      <c r="P210" t="inlineStr">
        <is>
          <t>nyu</t>
        </is>
      </c>
      <c r="R210" t="inlineStr">
        <is>
          <t xml:space="preserve">BF </t>
        </is>
      </c>
      <c r="S210" t="n">
        <v>5</v>
      </c>
      <c r="T210" t="n">
        <v>5</v>
      </c>
      <c r="U210" t="inlineStr">
        <is>
          <t>1995-11-21</t>
        </is>
      </c>
      <c r="V210" t="inlineStr">
        <is>
          <t>1995-11-21</t>
        </is>
      </c>
      <c r="W210" t="inlineStr">
        <is>
          <t>1990-04-30</t>
        </is>
      </c>
      <c r="X210" t="inlineStr">
        <is>
          <t>1990-04-30</t>
        </is>
      </c>
      <c r="Y210" t="n">
        <v>1134</v>
      </c>
      <c r="Z210" t="n">
        <v>1024</v>
      </c>
      <c r="AA210" t="n">
        <v>1224</v>
      </c>
      <c r="AB210" t="n">
        <v>9</v>
      </c>
      <c r="AC210" t="n">
        <v>10</v>
      </c>
      <c r="AD210" t="n">
        <v>36</v>
      </c>
      <c r="AE210" t="n">
        <v>42</v>
      </c>
      <c r="AF210" t="n">
        <v>14</v>
      </c>
      <c r="AG210" t="n">
        <v>17</v>
      </c>
      <c r="AH210" t="n">
        <v>8</v>
      </c>
      <c r="AI210" t="n">
        <v>9</v>
      </c>
      <c r="AJ210" t="n">
        <v>16</v>
      </c>
      <c r="AK210" t="n">
        <v>19</v>
      </c>
      <c r="AL210" t="n">
        <v>5</v>
      </c>
      <c r="AM210" t="n">
        <v>6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HYPERLINK("https://creighton-primo.hosted.exlibrisgroup.com/primo-explore/search?tab=default_tab&amp;search_scope=EVERYTHING&amp;vid=01CRU&amp;lang=en_US&amp;offset=0&amp;query=any,contains,991000328309702656","Catalog Record")</f>
        <v/>
      </c>
      <c r="AT210">
        <f>HYPERLINK("http://www.worldcat.org/oclc/10185193","WorldCat Record")</f>
        <v/>
      </c>
      <c r="AU210" t="inlineStr">
        <is>
          <t>235085872:eng</t>
        </is>
      </c>
      <c r="AV210" t="inlineStr">
        <is>
          <t>10185193</t>
        </is>
      </c>
      <c r="AW210" t="inlineStr">
        <is>
          <t>991000328309702656</t>
        </is>
      </c>
      <c r="AX210" t="inlineStr">
        <is>
          <t>991000328309702656</t>
        </is>
      </c>
      <c r="AY210" t="inlineStr">
        <is>
          <t>2265508070002656</t>
        </is>
      </c>
      <c r="AZ210" t="inlineStr">
        <is>
          <t>BOOK</t>
        </is>
      </c>
      <c r="BB210" t="inlineStr">
        <is>
          <t>9780374106423</t>
        </is>
      </c>
      <c r="BC210" t="inlineStr">
        <is>
          <t>32285000127521</t>
        </is>
      </c>
      <c r="BD210" t="inlineStr">
        <is>
          <t>893607817</t>
        </is>
      </c>
    </row>
    <row r="211">
      <c r="A211" t="inlineStr">
        <is>
          <t>No</t>
        </is>
      </c>
      <c r="B211" t="inlineStr">
        <is>
          <t>BF173.F85 N37 1974</t>
        </is>
      </c>
      <c r="C211" t="inlineStr">
        <is>
          <t>0                      BF 0173000F  85                 N  37          1974</t>
        </is>
      </c>
      <c r="D211" t="inlineStr">
        <is>
          <t>Freud and the 20th century / ed. and selected by Benjamin Nelson.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Nelson, Benjamin, 1911-1977, editor.</t>
        </is>
      </c>
      <c r="L211" t="inlineStr">
        <is>
          <t>Gloucester, Mass. : Peter Smith, 1974, [c1957]</t>
        </is>
      </c>
      <c r="M211" t="inlineStr">
        <is>
          <t>1974</t>
        </is>
      </c>
      <c r="O211" t="inlineStr">
        <is>
          <t>eng</t>
        </is>
      </c>
      <c r="P211" t="inlineStr">
        <is>
          <t>mau</t>
        </is>
      </c>
      <c r="R211" t="inlineStr">
        <is>
          <t xml:space="preserve">BF </t>
        </is>
      </c>
      <c r="S211" t="n">
        <v>8</v>
      </c>
      <c r="T211" t="n">
        <v>8</v>
      </c>
      <c r="U211" t="inlineStr">
        <is>
          <t>2002-11-17</t>
        </is>
      </c>
      <c r="V211" t="inlineStr">
        <is>
          <t>2002-11-17</t>
        </is>
      </c>
      <c r="W211" t="inlineStr">
        <is>
          <t>1991-02-04</t>
        </is>
      </c>
      <c r="X211" t="inlineStr">
        <is>
          <t>1991-02-04</t>
        </is>
      </c>
      <c r="Y211" t="n">
        <v>77</v>
      </c>
      <c r="Z211" t="n">
        <v>75</v>
      </c>
      <c r="AA211" t="n">
        <v>757</v>
      </c>
      <c r="AB211" t="n">
        <v>2</v>
      </c>
      <c r="AC211" t="n">
        <v>4</v>
      </c>
      <c r="AD211" t="n">
        <v>5</v>
      </c>
      <c r="AE211" t="n">
        <v>32</v>
      </c>
      <c r="AF211" t="n">
        <v>2</v>
      </c>
      <c r="AG211" t="n">
        <v>12</v>
      </c>
      <c r="AH211" t="n">
        <v>0</v>
      </c>
      <c r="AI211" t="n">
        <v>6</v>
      </c>
      <c r="AJ211" t="n">
        <v>3</v>
      </c>
      <c r="AK211" t="n">
        <v>18</v>
      </c>
      <c r="AL211" t="n">
        <v>1</v>
      </c>
      <c r="AM211" t="n">
        <v>3</v>
      </c>
      <c r="AN211" t="n">
        <v>0</v>
      </c>
      <c r="AO211" t="n">
        <v>0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HYPERLINK("http://catalog.hathitrust.org/Record/102065577","HathiTrust Record")</f>
        <v/>
      </c>
      <c r="AS211">
        <f>HYPERLINK("https://creighton-primo.hosted.exlibrisgroup.com/primo-explore/search?tab=default_tab&amp;search_scope=EVERYTHING&amp;vid=01CRU&amp;lang=en_US&amp;offset=0&amp;query=any,contains,991003895829702656","Catalog Record")</f>
        <v/>
      </c>
      <c r="AT211">
        <f>HYPERLINK("http://www.worldcat.org/oclc/1809428","WorldCat Record")</f>
        <v/>
      </c>
      <c r="AU211" t="inlineStr">
        <is>
          <t>38855740:eng</t>
        </is>
      </c>
      <c r="AV211" t="inlineStr">
        <is>
          <t>1809428</t>
        </is>
      </c>
      <c r="AW211" t="inlineStr">
        <is>
          <t>991003895829702656</t>
        </is>
      </c>
      <c r="AX211" t="inlineStr">
        <is>
          <t>991003895829702656</t>
        </is>
      </c>
      <c r="AY211" t="inlineStr">
        <is>
          <t>2265631320002656</t>
        </is>
      </c>
      <c r="AZ211" t="inlineStr">
        <is>
          <t>BOOK</t>
        </is>
      </c>
      <c r="BB211" t="inlineStr">
        <is>
          <t>9780844620978</t>
        </is>
      </c>
      <c r="BC211" t="inlineStr">
        <is>
          <t>32285000470632</t>
        </is>
      </c>
      <c r="BD211" t="inlineStr">
        <is>
          <t>893512535</t>
        </is>
      </c>
    </row>
    <row r="212">
      <c r="A212" t="inlineStr">
        <is>
          <t>No</t>
        </is>
      </c>
      <c r="B212" t="inlineStr">
        <is>
          <t>BF173.F85 P45 1982</t>
        </is>
      </c>
      <c r="C212" t="inlineStr">
        <is>
          <t>0                      BF 0173000F  85                 P  45          1982</t>
        </is>
      </c>
      <c r="D212" t="inlineStr">
        <is>
          <t>Philosophical essays on Freud / edited by Richard Wollheim and James Hopkins.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L212" t="inlineStr">
        <is>
          <t>Cambridge [Cambridgeshire] ; New York : Cambridge University Press, 1982.</t>
        </is>
      </c>
      <c r="M212" t="inlineStr">
        <is>
          <t>1982</t>
        </is>
      </c>
      <c r="O212" t="inlineStr">
        <is>
          <t>eng</t>
        </is>
      </c>
      <c r="P212" t="inlineStr">
        <is>
          <t>enk</t>
        </is>
      </c>
      <c r="R212" t="inlineStr">
        <is>
          <t xml:space="preserve">BF </t>
        </is>
      </c>
      <c r="S212" t="n">
        <v>1</v>
      </c>
      <c r="T212" t="n">
        <v>1</v>
      </c>
      <c r="U212" t="inlineStr">
        <is>
          <t>2003-09-29</t>
        </is>
      </c>
      <c r="V212" t="inlineStr">
        <is>
          <t>2003-09-29</t>
        </is>
      </c>
      <c r="W212" t="inlineStr">
        <is>
          <t>2003-09-29</t>
        </is>
      </c>
      <c r="X212" t="inlineStr">
        <is>
          <t>2003-09-29</t>
        </is>
      </c>
      <c r="Y212" t="n">
        <v>550</v>
      </c>
      <c r="Z212" t="n">
        <v>353</v>
      </c>
      <c r="AA212" t="n">
        <v>366</v>
      </c>
      <c r="AB212" t="n">
        <v>3</v>
      </c>
      <c r="AC212" t="n">
        <v>3</v>
      </c>
      <c r="AD212" t="n">
        <v>17</v>
      </c>
      <c r="AE212" t="n">
        <v>17</v>
      </c>
      <c r="AF212" t="n">
        <v>5</v>
      </c>
      <c r="AG212" t="n">
        <v>5</v>
      </c>
      <c r="AH212" t="n">
        <v>4</v>
      </c>
      <c r="AI212" t="n">
        <v>4</v>
      </c>
      <c r="AJ212" t="n">
        <v>10</v>
      </c>
      <c r="AK212" t="n">
        <v>10</v>
      </c>
      <c r="AL212" t="n">
        <v>2</v>
      </c>
      <c r="AM212" t="n">
        <v>2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HYPERLINK("https://creighton-primo.hosted.exlibrisgroup.com/primo-explore/search?tab=default_tab&amp;search_scope=EVERYTHING&amp;vid=01CRU&amp;lang=en_US&amp;offset=0&amp;query=any,contains,991004139509702656","Catalog Record")</f>
        <v/>
      </c>
      <c r="AT212">
        <f>HYPERLINK("http://www.worldcat.org/oclc/8170519","WorldCat Record")</f>
        <v/>
      </c>
      <c r="AU212" t="inlineStr">
        <is>
          <t>917502167:eng</t>
        </is>
      </c>
      <c r="AV212" t="inlineStr">
        <is>
          <t>8170519</t>
        </is>
      </c>
      <c r="AW212" t="inlineStr">
        <is>
          <t>991004139509702656</t>
        </is>
      </c>
      <c r="AX212" t="inlineStr">
        <is>
          <t>991004139509702656</t>
        </is>
      </c>
      <c r="AY212" t="inlineStr">
        <is>
          <t>2256437390002656</t>
        </is>
      </c>
      <c r="AZ212" t="inlineStr">
        <is>
          <t>BOOK</t>
        </is>
      </c>
      <c r="BB212" t="inlineStr">
        <is>
          <t>9780521240765</t>
        </is>
      </c>
      <c r="BC212" t="inlineStr">
        <is>
          <t>32285004785688</t>
        </is>
      </c>
      <c r="BD212" t="inlineStr">
        <is>
          <t>893500161</t>
        </is>
      </c>
    </row>
    <row r="213">
      <c r="A213" t="inlineStr">
        <is>
          <t>No</t>
        </is>
      </c>
      <c r="B213" t="inlineStr">
        <is>
          <t>BF173.F85 R72 1987</t>
        </is>
      </c>
      <c r="C213" t="inlineStr">
        <is>
          <t>0                      BF 0173000F  85                 R  72          1987</t>
        </is>
      </c>
      <c r="D213" t="inlineStr">
        <is>
          <t>Psycho-analysis as history : negation and freedom in Freud / Michael S. Roth.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Roth, Michael S., 1957-</t>
        </is>
      </c>
      <c r="L213" t="inlineStr">
        <is>
          <t>Ithaca : Cornell University Press, 1987.</t>
        </is>
      </c>
      <c r="M213" t="inlineStr">
        <is>
          <t>1987</t>
        </is>
      </c>
      <c r="O213" t="inlineStr">
        <is>
          <t>eng</t>
        </is>
      </c>
      <c r="P213" t="inlineStr">
        <is>
          <t>nyu</t>
        </is>
      </c>
      <c r="R213" t="inlineStr">
        <is>
          <t xml:space="preserve">BF </t>
        </is>
      </c>
      <c r="S213" t="n">
        <v>2</v>
      </c>
      <c r="T213" t="n">
        <v>2</v>
      </c>
      <c r="U213" t="inlineStr">
        <is>
          <t>2003-10-27</t>
        </is>
      </c>
      <c r="V213" t="inlineStr">
        <is>
          <t>2003-10-27</t>
        </is>
      </c>
      <c r="W213" t="inlineStr">
        <is>
          <t>1990-08-15</t>
        </is>
      </c>
      <c r="X213" t="inlineStr">
        <is>
          <t>1990-08-15</t>
        </is>
      </c>
      <c r="Y213" t="n">
        <v>411</v>
      </c>
      <c r="Z213" t="n">
        <v>341</v>
      </c>
      <c r="AA213" t="n">
        <v>533</v>
      </c>
      <c r="AB213" t="n">
        <v>3</v>
      </c>
      <c r="AC213" t="n">
        <v>4</v>
      </c>
      <c r="AD213" t="n">
        <v>19</v>
      </c>
      <c r="AE213" t="n">
        <v>27</v>
      </c>
      <c r="AF213" t="n">
        <v>7</v>
      </c>
      <c r="AG213" t="n">
        <v>12</v>
      </c>
      <c r="AH213" t="n">
        <v>3</v>
      </c>
      <c r="AI213" t="n">
        <v>6</v>
      </c>
      <c r="AJ213" t="n">
        <v>13</v>
      </c>
      <c r="AK213" t="n">
        <v>15</v>
      </c>
      <c r="AL213" t="n">
        <v>2</v>
      </c>
      <c r="AM213" t="n">
        <v>3</v>
      </c>
      <c r="AN213" t="n">
        <v>0</v>
      </c>
      <c r="AO213" t="n">
        <v>0</v>
      </c>
      <c r="AP213" t="inlineStr">
        <is>
          <t>No</t>
        </is>
      </c>
      <c r="AQ213" t="inlineStr">
        <is>
          <t>Yes</t>
        </is>
      </c>
      <c r="AR213">
        <f>HYPERLINK("http://catalog.hathitrust.org/Record/000828455","HathiTrust Record")</f>
        <v/>
      </c>
      <c r="AS213">
        <f>HYPERLINK("https://creighton-primo.hosted.exlibrisgroup.com/primo-explore/search?tab=default_tab&amp;search_scope=EVERYTHING&amp;vid=01CRU&amp;lang=en_US&amp;offset=0&amp;query=any,contains,991000960629702656","Catalog Record")</f>
        <v/>
      </c>
      <c r="AT213">
        <f>HYPERLINK("http://www.worldcat.org/oclc/14818480","WorldCat Record")</f>
        <v/>
      </c>
      <c r="AU213" t="inlineStr">
        <is>
          <t>836692452:eng</t>
        </is>
      </c>
      <c r="AV213" t="inlineStr">
        <is>
          <t>14818480</t>
        </is>
      </c>
      <c r="AW213" t="inlineStr">
        <is>
          <t>991000960629702656</t>
        </is>
      </c>
      <c r="AX213" t="inlineStr">
        <is>
          <t>991000960629702656</t>
        </is>
      </c>
      <c r="AY213" t="inlineStr">
        <is>
          <t>2263890980002656</t>
        </is>
      </c>
      <c r="AZ213" t="inlineStr">
        <is>
          <t>BOOK</t>
        </is>
      </c>
      <c r="BB213" t="inlineStr">
        <is>
          <t>9780801419577</t>
        </is>
      </c>
      <c r="BC213" t="inlineStr">
        <is>
          <t>32285000282615</t>
        </is>
      </c>
      <c r="BD213" t="inlineStr">
        <is>
          <t>893407691</t>
        </is>
      </c>
    </row>
    <row r="214">
      <c r="A214" t="inlineStr">
        <is>
          <t>No</t>
        </is>
      </c>
      <c r="B214" t="inlineStr">
        <is>
          <t>BF173.F85 R84 1973</t>
        </is>
      </c>
      <c r="C214" t="inlineStr">
        <is>
          <t>0                      BF 0173000F  85                 R  84          1973</t>
        </is>
      </c>
      <c r="D214" t="inlineStr">
        <is>
          <t>Freud as we knew him / edited and introduced by Hendrik M. Ruitenbeek.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Ruitenbeek, Hendrik Marinus, 1928- compiler.</t>
        </is>
      </c>
      <c r="L214" t="inlineStr">
        <is>
          <t>Detroit : Wayne State University Press, 1973.</t>
        </is>
      </c>
      <c r="M214" t="inlineStr">
        <is>
          <t>1973</t>
        </is>
      </c>
      <c r="O214" t="inlineStr">
        <is>
          <t>eng</t>
        </is>
      </c>
      <c r="P214" t="inlineStr">
        <is>
          <t>miu</t>
        </is>
      </c>
      <c r="R214" t="inlineStr">
        <is>
          <t xml:space="preserve">BF </t>
        </is>
      </c>
      <c r="S214" t="n">
        <v>4</v>
      </c>
      <c r="T214" t="n">
        <v>4</v>
      </c>
      <c r="U214" t="inlineStr">
        <is>
          <t>1998-10-31</t>
        </is>
      </c>
      <c r="V214" t="inlineStr">
        <is>
          <t>1998-10-31</t>
        </is>
      </c>
      <c r="W214" t="inlineStr">
        <is>
          <t>1990-02-08</t>
        </is>
      </c>
      <c r="X214" t="inlineStr">
        <is>
          <t>1990-02-08</t>
        </is>
      </c>
      <c r="Y214" t="n">
        <v>535</v>
      </c>
      <c r="Z214" t="n">
        <v>470</v>
      </c>
      <c r="AA214" t="n">
        <v>504</v>
      </c>
      <c r="AB214" t="n">
        <v>2</v>
      </c>
      <c r="AC214" t="n">
        <v>3</v>
      </c>
      <c r="AD214" t="n">
        <v>14</v>
      </c>
      <c r="AE214" t="n">
        <v>15</v>
      </c>
      <c r="AF214" t="n">
        <v>5</v>
      </c>
      <c r="AG214" t="n">
        <v>5</v>
      </c>
      <c r="AH214" t="n">
        <v>6</v>
      </c>
      <c r="AI214" t="n">
        <v>6</v>
      </c>
      <c r="AJ214" t="n">
        <v>6</v>
      </c>
      <c r="AK214" t="n">
        <v>6</v>
      </c>
      <c r="AL214" t="n">
        <v>1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HYPERLINK("http://catalog.hathitrust.org/Record/000658013","HathiTrust Record")</f>
        <v/>
      </c>
      <c r="AS214">
        <f>HYPERLINK("https://creighton-primo.hosted.exlibrisgroup.com/primo-explore/search?tab=default_tab&amp;search_scope=EVERYTHING&amp;vid=01CRU&amp;lang=en_US&amp;offset=0&amp;query=any,contains,991002655689702656","Catalog Record")</f>
        <v/>
      </c>
      <c r="AT214">
        <f>HYPERLINK("http://www.worldcat.org/oclc/388636","WorldCat Record")</f>
        <v/>
      </c>
      <c r="AU214" t="inlineStr">
        <is>
          <t>476055:eng</t>
        </is>
      </c>
      <c r="AV214" t="inlineStr">
        <is>
          <t>388636</t>
        </is>
      </c>
      <c r="AW214" t="inlineStr">
        <is>
          <t>991002655689702656</t>
        </is>
      </c>
      <c r="AX214" t="inlineStr">
        <is>
          <t>991002655689702656</t>
        </is>
      </c>
      <c r="AY214" t="inlineStr">
        <is>
          <t>2254983220002656</t>
        </is>
      </c>
      <c r="AZ214" t="inlineStr">
        <is>
          <t>BOOK</t>
        </is>
      </c>
      <c r="BB214" t="inlineStr">
        <is>
          <t>9780814314883</t>
        </is>
      </c>
      <c r="BC214" t="inlineStr">
        <is>
          <t>32285000007830</t>
        </is>
      </c>
      <c r="BD214" t="inlineStr">
        <is>
          <t>893535115</t>
        </is>
      </c>
    </row>
    <row r="215">
      <c r="A215" t="inlineStr">
        <is>
          <t>No</t>
        </is>
      </c>
      <c r="B215" t="inlineStr">
        <is>
          <t>BF173.F85 S37</t>
        </is>
      </c>
      <c r="C215" t="inlineStr">
        <is>
          <t>0                      BF 0173000F  85                 S  37</t>
        </is>
      </c>
      <c r="D215" t="inlineStr">
        <is>
          <t>The Scientific evaluation of Freud's theories and therapy : a book of readings / edited by Seymour Fisher and Roger P. Greenberg.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L215" t="inlineStr">
        <is>
          <t>New York : Basic Books, c1978.</t>
        </is>
      </c>
      <c r="M215" t="inlineStr">
        <is>
          <t>1978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BF </t>
        </is>
      </c>
      <c r="S215" t="n">
        <v>4</v>
      </c>
      <c r="T215" t="n">
        <v>4</v>
      </c>
      <c r="U215" t="inlineStr">
        <is>
          <t>2004-09-21</t>
        </is>
      </c>
      <c r="V215" t="inlineStr">
        <is>
          <t>2004-09-21</t>
        </is>
      </c>
      <c r="W215" t="inlineStr">
        <is>
          <t>1990-03-05</t>
        </is>
      </c>
      <c r="X215" t="inlineStr">
        <is>
          <t>1990-03-05</t>
        </is>
      </c>
      <c r="Y215" t="n">
        <v>339</v>
      </c>
      <c r="Z215" t="n">
        <v>303</v>
      </c>
      <c r="AA215" t="n">
        <v>314</v>
      </c>
      <c r="AB215" t="n">
        <v>3</v>
      </c>
      <c r="AC215" t="n">
        <v>3</v>
      </c>
      <c r="AD215" t="n">
        <v>14</v>
      </c>
      <c r="AE215" t="n">
        <v>14</v>
      </c>
      <c r="AF215" t="n">
        <v>3</v>
      </c>
      <c r="AG215" t="n">
        <v>3</v>
      </c>
      <c r="AH215" t="n">
        <v>6</v>
      </c>
      <c r="AI215" t="n">
        <v>6</v>
      </c>
      <c r="AJ215" t="n">
        <v>8</v>
      </c>
      <c r="AK215" t="n">
        <v>8</v>
      </c>
      <c r="AL215" t="n">
        <v>2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HYPERLINK("http://catalog.hathitrust.org/Record/000696567","HathiTrust Record")</f>
        <v/>
      </c>
      <c r="AS215">
        <f>HYPERLINK("https://creighton-primo.hosted.exlibrisgroup.com/primo-explore/search?tab=default_tab&amp;search_scope=EVERYTHING&amp;vid=01CRU&amp;lang=en_US&amp;offset=0&amp;query=any,contains,991004535299702656","Catalog Record")</f>
        <v/>
      </c>
      <c r="AT215">
        <f>HYPERLINK("http://www.worldcat.org/oclc/3869295","WorldCat Record")</f>
        <v/>
      </c>
      <c r="AU215" t="inlineStr">
        <is>
          <t>352017129:eng</t>
        </is>
      </c>
      <c r="AV215" t="inlineStr">
        <is>
          <t>3869295</t>
        </is>
      </c>
      <c r="AW215" t="inlineStr">
        <is>
          <t>991004535299702656</t>
        </is>
      </c>
      <c r="AX215" t="inlineStr">
        <is>
          <t>991004535299702656</t>
        </is>
      </c>
      <c r="AY215" t="inlineStr">
        <is>
          <t>2263022600002656</t>
        </is>
      </c>
      <c r="AZ215" t="inlineStr">
        <is>
          <t>BOOK</t>
        </is>
      </c>
      <c r="BB215" t="inlineStr">
        <is>
          <t>9780465073887</t>
        </is>
      </c>
      <c r="BC215" t="inlineStr">
        <is>
          <t>32285000076777</t>
        </is>
      </c>
      <c r="BD215" t="inlineStr">
        <is>
          <t>893722486</t>
        </is>
      </c>
    </row>
    <row r="216">
      <c r="A216" t="inlineStr">
        <is>
          <t>No</t>
        </is>
      </c>
      <c r="B216" t="inlineStr">
        <is>
          <t>BF173.F85 S79</t>
        </is>
      </c>
      <c r="C216" t="inlineStr">
        <is>
          <t>0                      BF 0173000F  85                 S  79</t>
        </is>
      </c>
      <c r="D216" t="inlineStr">
        <is>
          <t>Freud, biologist of the mind : beyond the psychoanalytic legend / Frank J. Sulloway.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Sulloway, Frank J.</t>
        </is>
      </c>
      <c r="L216" t="inlineStr">
        <is>
          <t>New York : Basic Books, c1979.</t>
        </is>
      </c>
      <c r="M216" t="inlineStr">
        <is>
          <t>1979</t>
        </is>
      </c>
      <c r="O216" t="inlineStr">
        <is>
          <t>eng</t>
        </is>
      </c>
      <c r="P216" t="inlineStr">
        <is>
          <t>nyu</t>
        </is>
      </c>
      <c r="R216" t="inlineStr">
        <is>
          <t xml:space="preserve">BF </t>
        </is>
      </c>
      <c r="S216" t="n">
        <v>7</v>
      </c>
      <c r="T216" t="n">
        <v>7</v>
      </c>
      <c r="U216" t="inlineStr">
        <is>
          <t>1996-02-20</t>
        </is>
      </c>
      <c r="V216" t="inlineStr">
        <is>
          <t>1996-02-20</t>
        </is>
      </c>
      <c r="W216" t="inlineStr">
        <is>
          <t>1990-08-15</t>
        </is>
      </c>
      <c r="X216" t="inlineStr">
        <is>
          <t>1990-08-15</t>
        </is>
      </c>
      <c r="Y216" t="n">
        <v>1104</v>
      </c>
      <c r="Z216" t="n">
        <v>994</v>
      </c>
      <c r="AA216" t="n">
        <v>1222</v>
      </c>
      <c r="AB216" t="n">
        <v>10</v>
      </c>
      <c r="AC216" t="n">
        <v>11</v>
      </c>
      <c r="AD216" t="n">
        <v>35</v>
      </c>
      <c r="AE216" t="n">
        <v>44</v>
      </c>
      <c r="AF216" t="n">
        <v>13</v>
      </c>
      <c r="AG216" t="n">
        <v>18</v>
      </c>
      <c r="AH216" t="n">
        <v>6</v>
      </c>
      <c r="AI216" t="n">
        <v>10</v>
      </c>
      <c r="AJ216" t="n">
        <v>17</v>
      </c>
      <c r="AK216" t="n">
        <v>19</v>
      </c>
      <c r="AL216" t="n">
        <v>5</v>
      </c>
      <c r="AM216" t="n">
        <v>6</v>
      </c>
      <c r="AN216" t="n">
        <v>0</v>
      </c>
      <c r="AO216" t="n">
        <v>0</v>
      </c>
      <c r="AP216" t="inlineStr">
        <is>
          <t>No</t>
        </is>
      </c>
      <c r="AQ216" t="inlineStr">
        <is>
          <t>Yes</t>
        </is>
      </c>
      <c r="AR216">
        <f>HYPERLINK("http://catalog.hathitrust.org/Record/000302604","HathiTrust Record")</f>
        <v/>
      </c>
      <c r="AS216">
        <f>HYPERLINK("https://creighton-primo.hosted.exlibrisgroup.com/primo-explore/search?tab=default_tab&amp;search_scope=EVERYTHING&amp;vid=01CRU&amp;lang=en_US&amp;offset=0&amp;query=any,contains,991004769789702656","Catalog Record")</f>
        <v/>
      </c>
      <c r="AT216">
        <f>HYPERLINK("http://www.worldcat.org/oclc/5051694","WorldCat Record")</f>
        <v/>
      </c>
      <c r="AU216" t="inlineStr">
        <is>
          <t>487383:eng</t>
        </is>
      </c>
      <c r="AV216" t="inlineStr">
        <is>
          <t>5051694</t>
        </is>
      </c>
      <c r="AW216" t="inlineStr">
        <is>
          <t>991004769789702656</t>
        </is>
      </c>
      <c r="AX216" t="inlineStr">
        <is>
          <t>991004769789702656</t>
        </is>
      </c>
      <c r="AY216" t="inlineStr">
        <is>
          <t>2263786810002656</t>
        </is>
      </c>
      <c r="AZ216" t="inlineStr">
        <is>
          <t>BOOK</t>
        </is>
      </c>
      <c r="BB216" t="inlineStr">
        <is>
          <t>9780465025596</t>
        </is>
      </c>
      <c r="BC216" t="inlineStr">
        <is>
          <t>32285000282631</t>
        </is>
      </c>
      <c r="BD216" t="inlineStr">
        <is>
          <t>893706824</t>
        </is>
      </c>
    </row>
    <row r="217">
      <c r="A217" t="inlineStr">
        <is>
          <t>No</t>
        </is>
      </c>
      <c r="B217" t="inlineStr">
        <is>
          <t>BF173.F85 T5413</t>
        </is>
      </c>
      <c r="C217" t="inlineStr">
        <is>
          <t>0                      BF 0173000F  85                 T  5413</t>
        </is>
      </c>
      <c r="D217" t="inlineStr">
        <is>
          <t>The Freudian slip : psychoanalysis and textual criticism / Sebastiano Timpanaro ; translated by Kate Soper.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Timpanaro, Sebastiano.</t>
        </is>
      </c>
      <c r="L217" t="inlineStr">
        <is>
          <t>London : NLB, 1976.</t>
        </is>
      </c>
      <c r="M217" t="inlineStr">
        <is>
          <t>1976</t>
        </is>
      </c>
      <c r="O217" t="inlineStr">
        <is>
          <t>eng</t>
        </is>
      </c>
      <c r="P217" t="inlineStr">
        <is>
          <t>enk</t>
        </is>
      </c>
      <c r="R217" t="inlineStr">
        <is>
          <t xml:space="preserve">BF </t>
        </is>
      </c>
      <c r="S217" t="n">
        <v>2</v>
      </c>
      <c r="T217" t="n">
        <v>2</v>
      </c>
      <c r="U217" t="inlineStr">
        <is>
          <t>2003-10-09</t>
        </is>
      </c>
      <c r="V217" t="inlineStr">
        <is>
          <t>2003-10-09</t>
        </is>
      </c>
      <c r="W217" t="inlineStr">
        <is>
          <t>1991-02-04</t>
        </is>
      </c>
      <c r="X217" t="inlineStr">
        <is>
          <t>1991-02-04</t>
        </is>
      </c>
      <c r="Y217" t="n">
        <v>323</v>
      </c>
      <c r="Z217" t="n">
        <v>210</v>
      </c>
      <c r="AA217" t="n">
        <v>259</v>
      </c>
      <c r="AB217" t="n">
        <v>2</v>
      </c>
      <c r="AC217" t="n">
        <v>3</v>
      </c>
      <c r="AD217" t="n">
        <v>6</v>
      </c>
      <c r="AE217" t="n">
        <v>11</v>
      </c>
      <c r="AF217" t="n">
        <v>1</v>
      </c>
      <c r="AG217" t="n">
        <v>3</v>
      </c>
      <c r="AH217" t="n">
        <v>1</v>
      </c>
      <c r="AI217" t="n">
        <v>3</v>
      </c>
      <c r="AJ217" t="n">
        <v>3</v>
      </c>
      <c r="AK217" t="n">
        <v>6</v>
      </c>
      <c r="AL217" t="n">
        <v>1</v>
      </c>
      <c r="AM217" t="n">
        <v>2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HYPERLINK("http://catalog.hathitrust.org/Record/000082677","HathiTrust Record")</f>
        <v/>
      </c>
      <c r="AS217">
        <f>HYPERLINK("https://creighton-primo.hosted.exlibrisgroup.com/primo-explore/search?tab=default_tab&amp;search_scope=EVERYTHING&amp;vid=01CRU&amp;lang=en_US&amp;offset=0&amp;query=any,contains,991004143819702656","Catalog Record")</f>
        <v/>
      </c>
      <c r="AT217">
        <f>HYPERLINK("http://www.worldcat.org/oclc/2505825","WorldCat Record")</f>
        <v/>
      </c>
      <c r="AU217" t="inlineStr">
        <is>
          <t>5151964:eng</t>
        </is>
      </c>
      <c r="AV217" t="inlineStr">
        <is>
          <t>2505825</t>
        </is>
      </c>
      <c r="AW217" t="inlineStr">
        <is>
          <t>991004143819702656</t>
        </is>
      </c>
      <c r="AX217" t="inlineStr">
        <is>
          <t>991004143819702656</t>
        </is>
      </c>
      <c r="AY217" t="inlineStr">
        <is>
          <t>2256084390002656</t>
        </is>
      </c>
      <c r="AZ217" t="inlineStr">
        <is>
          <t>BOOK</t>
        </is>
      </c>
      <c r="BB217" t="inlineStr">
        <is>
          <t>9780902308763</t>
        </is>
      </c>
      <c r="BC217" t="inlineStr">
        <is>
          <t>32285000470657</t>
        </is>
      </c>
      <c r="BD217" t="inlineStr">
        <is>
          <t>893869341</t>
        </is>
      </c>
    </row>
    <row r="218">
      <c r="A218" t="inlineStr">
        <is>
          <t>No</t>
        </is>
      </c>
      <c r="B218" t="inlineStr">
        <is>
          <t>BF173.F85 T7</t>
        </is>
      </c>
      <c r="C218" t="inlineStr">
        <is>
          <t>0                      BF 0173000F  85                 T  7</t>
        </is>
      </c>
      <c r="D218" t="inlineStr">
        <is>
          <t>Freud and the crisis of our culture.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Trilling, Lionel, 1905-1975.</t>
        </is>
      </c>
      <c r="L218" t="inlineStr">
        <is>
          <t>Boston : Beacon Press, [1955]</t>
        </is>
      </c>
      <c r="M218" t="inlineStr">
        <is>
          <t>1955</t>
        </is>
      </c>
      <c r="O218" t="inlineStr">
        <is>
          <t>eng</t>
        </is>
      </c>
      <c r="P218" t="inlineStr">
        <is>
          <t>mau</t>
        </is>
      </c>
      <c r="Q218" t="inlineStr">
        <is>
          <t>Mid-century essays, no. 1</t>
        </is>
      </c>
      <c r="R218" t="inlineStr">
        <is>
          <t xml:space="preserve">BF </t>
        </is>
      </c>
      <c r="S218" t="n">
        <v>2</v>
      </c>
      <c r="T218" t="n">
        <v>2</v>
      </c>
      <c r="U218" t="inlineStr">
        <is>
          <t>2002-10-11</t>
        </is>
      </c>
      <c r="V218" t="inlineStr">
        <is>
          <t>2002-10-11</t>
        </is>
      </c>
      <c r="W218" t="inlineStr">
        <is>
          <t>1993-11-18</t>
        </is>
      </c>
      <c r="X218" t="inlineStr">
        <is>
          <t>1993-11-18</t>
        </is>
      </c>
      <c r="Y218" t="n">
        <v>603</v>
      </c>
      <c r="Z218" t="n">
        <v>505</v>
      </c>
      <c r="AA218" t="n">
        <v>511</v>
      </c>
      <c r="AB218" t="n">
        <v>3</v>
      </c>
      <c r="AC218" t="n">
        <v>3</v>
      </c>
      <c r="AD218" t="n">
        <v>23</v>
      </c>
      <c r="AE218" t="n">
        <v>23</v>
      </c>
      <c r="AF218" t="n">
        <v>11</v>
      </c>
      <c r="AG218" t="n">
        <v>11</v>
      </c>
      <c r="AH218" t="n">
        <v>4</v>
      </c>
      <c r="AI218" t="n">
        <v>4</v>
      </c>
      <c r="AJ218" t="n">
        <v>12</v>
      </c>
      <c r="AK218" t="n">
        <v>12</v>
      </c>
      <c r="AL218" t="n">
        <v>2</v>
      </c>
      <c r="AM218" t="n">
        <v>2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HYPERLINK("http://catalog.hathitrust.org/Record/000656927","HathiTrust Record")</f>
        <v/>
      </c>
      <c r="AS218">
        <f>HYPERLINK("https://creighton-primo.hosted.exlibrisgroup.com/primo-explore/search?tab=default_tab&amp;search_scope=EVERYTHING&amp;vid=01CRU&amp;lang=en_US&amp;offset=0&amp;query=any,contains,991004860179702656","Catalog Record")</f>
        <v/>
      </c>
      <c r="AT218">
        <f>HYPERLINK("http://www.worldcat.org/oclc/5693028","WorldCat Record")</f>
        <v/>
      </c>
      <c r="AU218" t="inlineStr">
        <is>
          <t>19403253:eng</t>
        </is>
      </c>
      <c r="AV218" t="inlineStr">
        <is>
          <t>5693028</t>
        </is>
      </c>
      <c r="AW218" t="inlineStr">
        <is>
          <t>991004860179702656</t>
        </is>
      </c>
      <c r="AX218" t="inlineStr">
        <is>
          <t>991004860179702656</t>
        </is>
      </c>
      <c r="AY218" t="inlineStr">
        <is>
          <t>2269628740002656</t>
        </is>
      </c>
      <c r="AZ218" t="inlineStr">
        <is>
          <t>BOOK</t>
        </is>
      </c>
      <c r="BC218" t="inlineStr">
        <is>
          <t>32285001799724</t>
        </is>
      </c>
      <c r="BD218" t="inlineStr">
        <is>
          <t>893719493</t>
        </is>
      </c>
    </row>
    <row r="219">
      <c r="A219" t="inlineStr">
        <is>
          <t>No</t>
        </is>
      </c>
      <c r="B219" t="inlineStr">
        <is>
          <t>BF173.F85 T74 1985</t>
        </is>
      </c>
      <c r="C219" t="inlineStr">
        <is>
          <t>0                      BF 0173000F  85                 T  74          1985</t>
        </is>
      </c>
      <c r="D219" t="inlineStr">
        <is>
          <t>Freud and the imaginative world / Harry Trosman.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Trosman, Harry.</t>
        </is>
      </c>
      <c r="L219" t="inlineStr">
        <is>
          <t>Hillsdale, N.J. : Analytic Press, c1985.</t>
        </is>
      </c>
      <c r="M219" t="inlineStr">
        <is>
          <t>1985</t>
        </is>
      </c>
      <c r="O219" t="inlineStr">
        <is>
          <t>eng</t>
        </is>
      </c>
      <c r="P219" t="inlineStr">
        <is>
          <t>nju</t>
        </is>
      </c>
      <c r="R219" t="inlineStr">
        <is>
          <t xml:space="preserve">BF </t>
        </is>
      </c>
      <c r="S219" t="n">
        <v>3</v>
      </c>
      <c r="T219" t="n">
        <v>3</v>
      </c>
      <c r="U219" t="inlineStr">
        <is>
          <t>1993-07-27</t>
        </is>
      </c>
      <c r="V219" t="inlineStr">
        <is>
          <t>1993-07-27</t>
        </is>
      </c>
      <c r="W219" t="inlineStr">
        <is>
          <t>1990-08-15</t>
        </is>
      </c>
      <c r="X219" t="inlineStr">
        <is>
          <t>1990-08-15</t>
        </is>
      </c>
      <c r="Y219" t="n">
        <v>232</v>
      </c>
      <c r="Z219" t="n">
        <v>188</v>
      </c>
      <c r="AA219" t="n">
        <v>215</v>
      </c>
      <c r="AB219" t="n">
        <v>3</v>
      </c>
      <c r="AC219" t="n">
        <v>3</v>
      </c>
      <c r="AD219" t="n">
        <v>10</v>
      </c>
      <c r="AE219" t="n">
        <v>10</v>
      </c>
      <c r="AF219" t="n">
        <v>2</v>
      </c>
      <c r="AG219" t="n">
        <v>2</v>
      </c>
      <c r="AH219" t="n">
        <v>2</v>
      </c>
      <c r="AI219" t="n">
        <v>2</v>
      </c>
      <c r="AJ219" t="n">
        <v>6</v>
      </c>
      <c r="AK219" t="n">
        <v>6</v>
      </c>
      <c r="AL219" t="n">
        <v>2</v>
      </c>
      <c r="AM219" t="n">
        <v>2</v>
      </c>
      <c r="AN219" t="n">
        <v>0</v>
      </c>
      <c r="AO219" t="n">
        <v>0</v>
      </c>
      <c r="AP219" t="inlineStr">
        <is>
          <t>No</t>
        </is>
      </c>
      <c r="AQ219" t="inlineStr">
        <is>
          <t>Yes</t>
        </is>
      </c>
      <c r="AR219">
        <f>HYPERLINK("http://catalog.hathitrust.org/Record/000369108","HathiTrust Record")</f>
        <v/>
      </c>
      <c r="AS219">
        <f>HYPERLINK("https://creighton-primo.hosted.exlibrisgroup.com/primo-explore/search?tab=default_tab&amp;search_scope=EVERYTHING&amp;vid=01CRU&amp;lang=en_US&amp;offset=0&amp;query=any,contains,991000510429702656","Catalog Record")</f>
        <v/>
      </c>
      <c r="AT219">
        <f>HYPERLINK("http://www.worldcat.org/oclc/11235193","WorldCat Record")</f>
        <v/>
      </c>
      <c r="AU219" t="inlineStr">
        <is>
          <t>4115747:eng</t>
        </is>
      </c>
      <c r="AV219" t="inlineStr">
        <is>
          <t>11235193</t>
        </is>
      </c>
      <c r="AW219" t="inlineStr">
        <is>
          <t>991000510429702656</t>
        </is>
      </c>
      <c r="AX219" t="inlineStr">
        <is>
          <t>991000510429702656</t>
        </is>
      </c>
      <c r="AY219" t="inlineStr">
        <is>
          <t>2259611610002656</t>
        </is>
      </c>
      <c r="AZ219" t="inlineStr">
        <is>
          <t>BOOK</t>
        </is>
      </c>
      <c r="BB219" t="inlineStr">
        <is>
          <t>9780881630282</t>
        </is>
      </c>
      <c r="BC219" t="inlineStr">
        <is>
          <t>32285000282649</t>
        </is>
      </c>
      <c r="BD219" t="inlineStr">
        <is>
          <t>893225048</t>
        </is>
      </c>
    </row>
    <row r="220">
      <c r="A220" t="inlineStr">
        <is>
          <t>No</t>
        </is>
      </c>
      <c r="B220" t="inlineStr">
        <is>
          <t>BF173.F85 V6413</t>
        </is>
      </c>
      <c r="C220" t="inlineStr">
        <is>
          <t>0                      BF 0173000F  85                 V  6413</t>
        </is>
      </c>
      <c r="D220" t="inlineStr">
        <is>
          <t>Freudianism : a Marxist critique / V.N. Vološinov ; translated by I.R. Titunik ; and edited in collaboration with Neal H. Bruss.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Voloshinov, V. N.</t>
        </is>
      </c>
      <c r="L220" t="inlineStr">
        <is>
          <t>New York : Academic Press, c1976.</t>
        </is>
      </c>
      <c r="M220" t="inlineStr">
        <is>
          <t>1976</t>
        </is>
      </c>
      <c r="O220" t="inlineStr">
        <is>
          <t>eng</t>
        </is>
      </c>
      <c r="P220" t="inlineStr">
        <is>
          <t>nyu</t>
        </is>
      </c>
      <c r="R220" t="inlineStr">
        <is>
          <t xml:space="preserve">BF </t>
        </is>
      </c>
      <c r="S220" t="n">
        <v>2</v>
      </c>
      <c r="T220" t="n">
        <v>2</v>
      </c>
      <c r="U220" t="inlineStr">
        <is>
          <t>1996-02-17</t>
        </is>
      </c>
      <c r="V220" t="inlineStr">
        <is>
          <t>1996-02-17</t>
        </is>
      </c>
      <c r="W220" t="inlineStr">
        <is>
          <t>1991-02-04</t>
        </is>
      </c>
      <c r="X220" t="inlineStr">
        <is>
          <t>1991-02-04</t>
        </is>
      </c>
      <c r="Y220" t="n">
        <v>504</v>
      </c>
      <c r="Z220" t="n">
        <v>369</v>
      </c>
      <c r="AA220" t="n">
        <v>414</v>
      </c>
      <c r="AB220" t="n">
        <v>3</v>
      </c>
      <c r="AC220" t="n">
        <v>3</v>
      </c>
      <c r="AD220" t="n">
        <v>16</v>
      </c>
      <c r="AE220" t="n">
        <v>18</v>
      </c>
      <c r="AF220" t="n">
        <v>3</v>
      </c>
      <c r="AG220" t="n">
        <v>4</v>
      </c>
      <c r="AH220" t="n">
        <v>6</v>
      </c>
      <c r="AI220" t="n">
        <v>6</v>
      </c>
      <c r="AJ220" t="n">
        <v>9</v>
      </c>
      <c r="AK220" t="n">
        <v>10</v>
      </c>
      <c r="AL220" t="n">
        <v>2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HYPERLINK("http://catalog.hathitrust.org/Record/000706100","HathiTrust Record")</f>
        <v/>
      </c>
      <c r="AS220">
        <f>HYPERLINK("https://creighton-primo.hosted.exlibrisgroup.com/primo-explore/search?tab=default_tab&amp;search_scope=EVERYTHING&amp;vid=01CRU&amp;lang=en_US&amp;offset=0&amp;query=any,contains,991004065669702656","Catalog Record")</f>
        <v/>
      </c>
      <c r="AT220">
        <f>HYPERLINK("http://www.worldcat.org/oclc/2283898","WorldCat Record")</f>
        <v/>
      </c>
      <c r="AU220" t="inlineStr">
        <is>
          <t>4915234242:eng</t>
        </is>
      </c>
      <c r="AV220" t="inlineStr">
        <is>
          <t>2283898</t>
        </is>
      </c>
      <c r="AW220" t="inlineStr">
        <is>
          <t>991004065669702656</t>
        </is>
      </c>
      <c r="AX220" t="inlineStr">
        <is>
          <t>991004065669702656</t>
        </is>
      </c>
      <c r="AY220" t="inlineStr">
        <is>
          <t>2266910970002656</t>
        </is>
      </c>
      <c r="AZ220" t="inlineStr">
        <is>
          <t>BOOK</t>
        </is>
      </c>
      <c r="BB220" t="inlineStr">
        <is>
          <t>9780127232508</t>
        </is>
      </c>
      <c r="BC220" t="inlineStr">
        <is>
          <t>32285000470665</t>
        </is>
      </c>
      <c r="BD220" t="inlineStr">
        <is>
          <t>893599381</t>
        </is>
      </c>
    </row>
    <row r="221">
      <c r="A221" t="inlineStr">
        <is>
          <t>No</t>
        </is>
      </c>
      <c r="B221" t="inlineStr">
        <is>
          <t>BF173.F85 W56</t>
        </is>
      </c>
      <c r="C221" t="inlineStr">
        <is>
          <t>0                      BF 0173000F  85                 W  56</t>
        </is>
      </c>
      <c r="D221" t="inlineStr">
        <is>
          <t>The unconscious mind; the meaning of Freudian psychology [by] Benjamin B. Wolman.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Wolman, Benjamin B.</t>
        </is>
      </c>
      <c r="L221" t="inlineStr">
        <is>
          <t>Englewood Cliffs, N.J., Prentice-Hall [1968]</t>
        </is>
      </c>
      <c r="M221" t="inlineStr">
        <is>
          <t>1968</t>
        </is>
      </c>
      <c r="O221" t="inlineStr">
        <is>
          <t>eng</t>
        </is>
      </c>
      <c r="P221" t="inlineStr">
        <is>
          <t>nju</t>
        </is>
      </c>
      <c r="Q221" t="inlineStr">
        <is>
          <t>A Spectrum book</t>
        </is>
      </c>
      <c r="R221" t="inlineStr">
        <is>
          <t xml:space="preserve">BF </t>
        </is>
      </c>
      <c r="S221" t="n">
        <v>1</v>
      </c>
      <c r="T221" t="n">
        <v>1</v>
      </c>
      <c r="U221" t="inlineStr">
        <is>
          <t>2002-10-24</t>
        </is>
      </c>
      <c r="V221" t="inlineStr">
        <is>
          <t>2002-10-24</t>
        </is>
      </c>
      <c r="W221" t="inlineStr">
        <is>
          <t>1996-07-24</t>
        </is>
      </c>
      <c r="X221" t="inlineStr">
        <is>
          <t>1996-07-24</t>
        </is>
      </c>
      <c r="Y221" t="n">
        <v>653</v>
      </c>
      <c r="Z221" t="n">
        <v>564</v>
      </c>
      <c r="AA221" t="n">
        <v>571</v>
      </c>
      <c r="AB221" t="n">
        <v>5</v>
      </c>
      <c r="AC221" t="n">
        <v>5</v>
      </c>
      <c r="AD221" t="n">
        <v>24</v>
      </c>
      <c r="AE221" t="n">
        <v>24</v>
      </c>
      <c r="AF221" t="n">
        <v>10</v>
      </c>
      <c r="AG221" t="n">
        <v>10</v>
      </c>
      <c r="AH221" t="n">
        <v>6</v>
      </c>
      <c r="AI221" t="n">
        <v>6</v>
      </c>
      <c r="AJ221" t="n">
        <v>9</v>
      </c>
      <c r="AK221" t="n">
        <v>9</v>
      </c>
      <c r="AL221" t="n">
        <v>4</v>
      </c>
      <c r="AM221" t="n">
        <v>4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HYPERLINK("http://catalog.hathitrust.org/Record/000657022","HathiTrust Record")</f>
        <v/>
      </c>
      <c r="AS221">
        <f>HYPERLINK("https://creighton-primo.hosted.exlibrisgroup.com/primo-explore/search?tab=default_tab&amp;search_scope=EVERYTHING&amp;vid=01CRU&amp;lang=en_US&amp;offset=0&amp;query=any,contains,991001215479702656","Catalog Record")</f>
        <v/>
      </c>
      <c r="AT221">
        <f>HYPERLINK("http://www.worldcat.org/oclc/193799","WorldCat Record")</f>
        <v/>
      </c>
      <c r="AU221" t="inlineStr">
        <is>
          <t>118378494:eng</t>
        </is>
      </c>
      <c r="AV221" t="inlineStr">
        <is>
          <t>193799</t>
        </is>
      </c>
      <c r="AW221" t="inlineStr">
        <is>
          <t>991001215479702656</t>
        </is>
      </c>
      <c r="AX221" t="inlineStr">
        <is>
          <t>991001215479702656</t>
        </is>
      </c>
      <c r="AY221" t="inlineStr">
        <is>
          <t>2268876010002656</t>
        </is>
      </c>
      <c r="AZ221" t="inlineStr">
        <is>
          <t>BOOK</t>
        </is>
      </c>
      <c r="BC221" t="inlineStr">
        <is>
          <t>32285002235702</t>
        </is>
      </c>
      <c r="BD221" t="inlineStr">
        <is>
          <t>893534478</t>
        </is>
      </c>
    </row>
    <row r="222">
      <c r="A222" t="inlineStr">
        <is>
          <t>No</t>
        </is>
      </c>
      <c r="B222" t="inlineStr">
        <is>
          <t>BF173.F89 H38</t>
        </is>
      </c>
      <c r="C222" t="inlineStr">
        <is>
          <t>0                      BF 0173000F  89                 H  38</t>
        </is>
      </c>
      <c r="D222" t="inlineStr">
        <is>
          <t>Erich Fromm.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Hausdorff, Don, 1927-</t>
        </is>
      </c>
      <c r="L222" t="inlineStr">
        <is>
          <t>New York : Twayne Publishers, [1972]</t>
        </is>
      </c>
      <c r="M222" t="inlineStr">
        <is>
          <t>1972</t>
        </is>
      </c>
      <c r="O222" t="inlineStr">
        <is>
          <t>eng</t>
        </is>
      </c>
      <c r="P222" t="inlineStr">
        <is>
          <t>nyu</t>
        </is>
      </c>
      <c r="Q222" t="inlineStr">
        <is>
          <t>Twayne's United States authors series ; TUSAS 203</t>
        </is>
      </c>
      <c r="R222" t="inlineStr">
        <is>
          <t xml:space="preserve">BF </t>
        </is>
      </c>
      <c r="S222" t="n">
        <v>3</v>
      </c>
      <c r="T222" t="n">
        <v>3</v>
      </c>
      <c r="U222" t="inlineStr">
        <is>
          <t>1997-04-07</t>
        </is>
      </c>
      <c r="V222" t="inlineStr">
        <is>
          <t>1997-04-07</t>
        </is>
      </c>
      <c r="W222" t="inlineStr">
        <is>
          <t>1994-03-04</t>
        </is>
      </c>
      <c r="X222" t="inlineStr">
        <is>
          <t>1994-03-04</t>
        </is>
      </c>
      <c r="Y222" t="n">
        <v>853</v>
      </c>
      <c r="Z222" t="n">
        <v>768</v>
      </c>
      <c r="AA222" t="n">
        <v>769</v>
      </c>
      <c r="AB222" t="n">
        <v>5</v>
      </c>
      <c r="AC222" t="n">
        <v>5</v>
      </c>
      <c r="AD222" t="n">
        <v>32</v>
      </c>
      <c r="AE222" t="n">
        <v>32</v>
      </c>
      <c r="AF222" t="n">
        <v>11</v>
      </c>
      <c r="AG222" t="n">
        <v>11</v>
      </c>
      <c r="AH222" t="n">
        <v>8</v>
      </c>
      <c r="AI222" t="n">
        <v>8</v>
      </c>
      <c r="AJ222" t="n">
        <v>16</v>
      </c>
      <c r="AK222" t="n">
        <v>16</v>
      </c>
      <c r="AL222" t="n">
        <v>4</v>
      </c>
      <c r="AM222" t="n">
        <v>4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HYPERLINK("http://catalog.hathitrust.org/Record/000657368","HathiTrust Record")</f>
        <v/>
      </c>
      <c r="AS222">
        <f>HYPERLINK("https://creighton-primo.hosted.exlibrisgroup.com/primo-explore/search?tab=default_tab&amp;search_scope=EVERYTHING&amp;vid=01CRU&amp;lang=en_US&amp;offset=0&amp;query=any,contains,991002918069702656","Catalog Record")</f>
        <v/>
      </c>
      <c r="AT222">
        <f>HYPERLINK("http://www.worldcat.org/oclc/525359","WorldCat Record")</f>
        <v/>
      </c>
      <c r="AU222" t="inlineStr">
        <is>
          <t>9438354799:eng</t>
        </is>
      </c>
      <c r="AV222" t="inlineStr">
        <is>
          <t>525359</t>
        </is>
      </c>
      <c r="AW222" t="inlineStr">
        <is>
          <t>991002918069702656</t>
        </is>
      </c>
      <c r="AX222" t="inlineStr">
        <is>
          <t>991002918069702656</t>
        </is>
      </c>
      <c r="AY222" t="inlineStr">
        <is>
          <t>2258279640002656</t>
        </is>
      </c>
      <c r="AZ222" t="inlineStr">
        <is>
          <t>BOOK</t>
        </is>
      </c>
      <c r="BB222" t="inlineStr">
        <is>
          <t>9780805702927</t>
        </is>
      </c>
      <c r="BC222" t="inlineStr">
        <is>
          <t>32285001851939</t>
        </is>
      </c>
      <c r="BD222" t="inlineStr">
        <is>
          <t>893317430</t>
        </is>
      </c>
    </row>
    <row r="223">
      <c r="A223" t="inlineStr">
        <is>
          <t>No</t>
        </is>
      </c>
      <c r="B223" t="inlineStr">
        <is>
          <t>BF173.J85 B4 1967</t>
        </is>
      </c>
      <c r="C223" t="inlineStr">
        <is>
          <t>0                      BF 0173000J  85                 B  4           1967</t>
        </is>
      </c>
      <c r="D223" t="inlineStr">
        <is>
          <t>What Jung really said [by] E. A. Bennet.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Bennet, E. A. (Edward Armstrong)</t>
        </is>
      </c>
      <c r="L223" t="inlineStr">
        <is>
          <t>New York, Schocken Books [1967,c1966]</t>
        </is>
      </c>
      <c r="M223" t="inlineStr">
        <is>
          <t>1967</t>
        </is>
      </c>
      <c r="O223" t="inlineStr">
        <is>
          <t>eng</t>
        </is>
      </c>
      <c r="P223" t="inlineStr">
        <is>
          <t>nyu</t>
        </is>
      </c>
      <c r="Q223" t="inlineStr">
        <is>
          <t>What they really said series</t>
        </is>
      </c>
      <c r="R223" t="inlineStr">
        <is>
          <t xml:space="preserve">BF </t>
        </is>
      </c>
      <c r="S223" t="n">
        <v>4</v>
      </c>
      <c r="T223" t="n">
        <v>4</v>
      </c>
      <c r="U223" t="inlineStr">
        <is>
          <t>2009-02-26</t>
        </is>
      </c>
      <c r="V223" t="inlineStr">
        <is>
          <t>2009-02-26</t>
        </is>
      </c>
      <c r="W223" t="inlineStr">
        <is>
          <t>1996-07-24</t>
        </is>
      </c>
      <c r="X223" t="inlineStr">
        <is>
          <t>1996-07-24</t>
        </is>
      </c>
      <c r="Y223" t="n">
        <v>798</v>
      </c>
      <c r="Z223" t="n">
        <v>755</v>
      </c>
      <c r="AA223" t="n">
        <v>1071</v>
      </c>
      <c r="AB223" t="n">
        <v>7</v>
      </c>
      <c r="AC223" t="n">
        <v>9</v>
      </c>
      <c r="AD223" t="n">
        <v>26</v>
      </c>
      <c r="AE223" t="n">
        <v>35</v>
      </c>
      <c r="AF223" t="n">
        <v>12</v>
      </c>
      <c r="AG223" t="n">
        <v>14</v>
      </c>
      <c r="AH223" t="n">
        <v>4</v>
      </c>
      <c r="AI223" t="n">
        <v>6</v>
      </c>
      <c r="AJ223" t="n">
        <v>11</v>
      </c>
      <c r="AK223" t="n">
        <v>17</v>
      </c>
      <c r="AL223" t="n">
        <v>4</v>
      </c>
      <c r="AM223" t="n">
        <v>5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HYPERLINK("http://catalog.hathitrust.org/Record/000658110","HathiTrust Record")</f>
        <v/>
      </c>
      <c r="AS223">
        <f>HYPERLINK("https://creighton-primo.hosted.exlibrisgroup.com/primo-explore/search?tab=default_tab&amp;search_scope=EVERYTHING&amp;vid=01CRU&amp;lang=en_US&amp;offset=0&amp;query=any,contains,991003231029702656","Catalog Record")</f>
        <v/>
      </c>
      <c r="AT223">
        <f>HYPERLINK("http://www.worldcat.org/oclc/755859","WorldCat Record")</f>
        <v/>
      </c>
      <c r="AU223" t="inlineStr">
        <is>
          <t>1616933:eng</t>
        </is>
      </c>
      <c r="AV223" t="inlineStr">
        <is>
          <t>755859</t>
        </is>
      </c>
      <c r="AW223" t="inlineStr">
        <is>
          <t>991003231029702656</t>
        </is>
      </c>
      <c r="AX223" t="inlineStr">
        <is>
          <t>991003231029702656</t>
        </is>
      </c>
      <c r="AY223" t="inlineStr">
        <is>
          <t>2267050640002656</t>
        </is>
      </c>
      <c r="AZ223" t="inlineStr">
        <is>
          <t>BOOK</t>
        </is>
      </c>
      <c r="BC223" t="inlineStr">
        <is>
          <t>32285002235751</t>
        </is>
      </c>
      <c r="BD223" t="inlineStr">
        <is>
          <t>893793431</t>
        </is>
      </c>
    </row>
    <row r="224">
      <c r="A224" t="inlineStr">
        <is>
          <t>No</t>
        </is>
      </c>
      <c r="B224" t="inlineStr">
        <is>
          <t>BF173.J85 G62</t>
        </is>
      </c>
      <c r="C224" t="inlineStr">
        <is>
          <t>0                      BF 0173000J  85                 G  62</t>
        </is>
      </c>
      <c r="D224" t="inlineStr">
        <is>
          <t>Individuation : a study of the depth psychology of Carl Gustav Jung / by Josef Goldbrunner. Translated from the original German by Stanley Godman.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Goldbrunner, Josef.</t>
        </is>
      </c>
      <c r="L224" t="inlineStr">
        <is>
          <t>New York : Pantheon, [1956]</t>
        </is>
      </c>
      <c r="M224" t="inlineStr">
        <is>
          <t>1956</t>
        </is>
      </c>
      <c r="N224" t="inlineStr">
        <is>
          <t>1st ed.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BF </t>
        </is>
      </c>
      <c r="S224" t="n">
        <v>5</v>
      </c>
      <c r="T224" t="n">
        <v>5</v>
      </c>
      <c r="U224" t="inlineStr">
        <is>
          <t>1999-04-08</t>
        </is>
      </c>
      <c r="V224" t="inlineStr">
        <is>
          <t>1999-04-08</t>
        </is>
      </c>
      <c r="W224" t="inlineStr">
        <is>
          <t>1995-08-21</t>
        </is>
      </c>
      <c r="X224" t="inlineStr">
        <is>
          <t>1995-08-21</t>
        </is>
      </c>
      <c r="Y224" t="n">
        <v>188</v>
      </c>
      <c r="Z224" t="n">
        <v>184</v>
      </c>
      <c r="AA224" t="n">
        <v>185</v>
      </c>
      <c r="AB224" t="n">
        <v>2</v>
      </c>
      <c r="AC224" t="n">
        <v>2</v>
      </c>
      <c r="AD224" t="n">
        <v>19</v>
      </c>
      <c r="AE224" t="n">
        <v>19</v>
      </c>
      <c r="AF224" t="n">
        <v>5</v>
      </c>
      <c r="AG224" t="n">
        <v>5</v>
      </c>
      <c r="AH224" t="n">
        <v>3</v>
      </c>
      <c r="AI224" t="n">
        <v>3</v>
      </c>
      <c r="AJ224" t="n">
        <v>15</v>
      </c>
      <c r="AK224" t="n">
        <v>15</v>
      </c>
      <c r="AL224" t="n">
        <v>1</v>
      </c>
      <c r="AM224" t="n">
        <v>1</v>
      </c>
      <c r="AN224" t="n">
        <v>0</v>
      </c>
      <c r="AO224" t="n">
        <v>0</v>
      </c>
      <c r="AP224" t="inlineStr">
        <is>
          <t>No</t>
        </is>
      </c>
      <c r="AQ224" t="inlineStr">
        <is>
          <t>No</t>
        </is>
      </c>
      <c r="AR224">
        <f>HYPERLINK("http://catalog.hathitrust.org/Record/007121227","HathiTrust Record")</f>
        <v/>
      </c>
      <c r="AS224">
        <f>HYPERLINK("https://creighton-primo.hosted.exlibrisgroup.com/primo-explore/search?tab=default_tab&amp;search_scope=EVERYTHING&amp;vid=01CRU&amp;lang=en_US&amp;offset=0&amp;query=any,contains,991004292019702656","Catalog Record")</f>
        <v/>
      </c>
      <c r="AT224">
        <f>HYPERLINK("http://www.worldcat.org/oclc/2949919","WorldCat Record")</f>
        <v/>
      </c>
      <c r="AU224" t="inlineStr">
        <is>
          <t>3943758783:eng</t>
        </is>
      </c>
      <c r="AV224" t="inlineStr">
        <is>
          <t>2949919</t>
        </is>
      </c>
      <c r="AW224" t="inlineStr">
        <is>
          <t>991004292019702656</t>
        </is>
      </c>
      <c r="AX224" t="inlineStr">
        <is>
          <t>991004292019702656</t>
        </is>
      </c>
      <c r="AY224" t="inlineStr">
        <is>
          <t>2268388630002656</t>
        </is>
      </c>
      <c r="AZ224" t="inlineStr">
        <is>
          <t>BOOK</t>
        </is>
      </c>
      <c r="BC224" t="inlineStr">
        <is>
          <t>32285002065190</t>
        </is>
      </c>
      <c r="BD224" t="inlineStr">
        <is>
          <t>893229172</t>
        </is>
      </c>
    </row>
    <row r="225">
      <c r="A225" t="inlineStr">
        <is>
          <t>No</t>
        </is>
      </c>
      <c r="B225" t="inlineStr">
        <is>
          <t>BF173.J85 H324</t>
        </is>
      </c>
      <c r="C225" t="inlineStr">
        <is>
          <t>0                      BF 0173000J  85                 H  324</t>
        </is>
      </c>
      <c r="D225" t="inlineStr">
        <is>
          <t>Encounters with the soul : active imagination as developed by C.G. Jung / Barbara Hannah.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Hannah, Barbara.</t>
        </is>
      </c>
      <c r="L225" t="inlineStr">
        <is>
          <t>Santa Monica, CA : Sigo Press, c1981.</t>
        </is>
      </c>
      <c r="M225" t="inlineStr">
        <is>
          <t>1981</t>
        </is>
      </c>
      <c r="O225" t="inlineStr">
        <is>
          <t>eng</t>
        </is>
      </c>
      <c r="P225" t="inlineStr">
        <is>
          <t>cau</t>
        </is>
      </c>
      <c r="R225" t="inlineStr">
        <is>
          <t xml:space="preserve">BF </t>
        </is>
      </c>
      <c r="S225" t="n">
        <v>6</v>
      </c>
      <c r="T225" t="n">
        <v>6</v>
      </c>
      <c r="U225" t="inlineStr">
        <is>
          <t>1997-03-13</t>
        </is>
      </c>
      <c r="V225" t="inlineStr">
        <is>
          <t>1997-03-13</t>
        </is>
      </c>
      <c r="W225" t="inlineStr">
        <is>
          <t>1990-08-15</t>
        </is>
      </c>
      <c r="X225" t="inlineStr">
        <is>
          <t>1990-08-15</t>
        </is>
      </c>
      <c r="Y225" t="n">
        <v>331</v>
      </c>
      <c r="Z225" t="n">
        <v>286</v>
      </c>
      <c r="AA225" t="n">
        <v>314</v>
      </c>
      <c r="AB225" t="n">
        <v>3</v>
      </c>
      <c r="AC225" t="n">
        <v>3</v>
      </c>
      <c r="AD225" t="n">
        <v>12</v>
      </c>
      <c r="AE225" t="n">
        <v>13</v>
      </c>
      <c r="AF225" t="n">
        <v>5</v>
      </c>
      <c r="AG225" t="n">
        <v>6</v>
      </c>
      <c r="AH225" t="n">
        <v>2</v>
      </c>
      <c r="AI225" t="n">
        <v>2</v>
      </c>
      <c r="AJ225" t="n">
        <v>7</v>
      </c>
      <c r="AK225" t="n">
        <v>8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HYPERLINK("http://catalog.hathitrust.org/Record/007116781","HathiTrust Record")</f>
        <v/>
      </c>
      <c r="AS225">
        <f>HYPERLINK("https://creighton-primo.hosted.exlibrisgroup.com/primo-explore/search?tab=default_tab&amp;search_scope=EVERYTHING&amp;vid=01CRU&amp;lang=en_US&amp;offset=0&amp;query=any,contains,991005115969702656","Catalog Record")</f>
        <v/>
      </c>
      <c r="AT225">
        <f>HYPERLINK("http://www.worldcat.org/oclc/7462471","WorldCat Record")</f>
        <v/>
      </c>
      <c r="AU225" t="inlineStr">
        <is>
          <t>565070:eng</t>
        </is>
      </c>
      <c r="AV225" t="inlineStr">
        <is>
          <t>7462471</t>
        </is>
      </c>
      <c r="AW225" t="inlineStr">
        <is>
          <t>991005115969702656</t>
        </is>
      </c>
      <c r="AX225" t="inlineStr">
        <is>
          <t>991005115969702656</t>
        </is>
      </c>
      <c r="AY225" t="inlineStr">
        <is>
          <t>2262891490002656</t>
        </is>
      </c>
      <c r="AZ225" t="inlineStr">
        <is>
          <t>BOOK</t>
        </is>
      </c>
      <c r="BB225" t="inlineStr">
        <is>
          <t>9780938434023</t>
        </is>
      </c>
      <c r="BC225" t="inlineStr">
        <is>
          <t>32285000282789</t>
        </is>
      </c>
      <c r="BD225" t="inlineStr">
        <is>
          <t>893353704</t>
        </is>
      </c>
    </row>
    <row r="226">
      <c r="A226" t="inlineStr">
        <is>
          <t>No</t>
        </is>
      </c>
      <c r="B226" t="inlineStr">
        <is>
          <t>BF173.J85 H33 1976</t>
        </is>
      </c>
      <c r="C226" t="inlineStr">
        <is>
          <t>0                      BF 0173000J  85                 H  33          1976</t>
        </is>
      </c>
      <c r="D226" t="inlineStr">
        <is>
          <t>Jung, his life and work : a biographical memoir / by Barbara Hannah.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Hannah, Barbara.</t>
        </is>
      </c>
      <c r="L226" t="inlineStr">
        <is>
          <t>New York : Putnam, c1976.</t>
        </is>
      </c>
      <c r="M226" t="inlineStr">
        <is>
          <t>1976</t>
        </is>
      </c>
      <c r="O226" t="inlineStr">
        <is>
          <t>eng</t>
        </is>
      </c>
      <c r="P226" t="inlineStr">
        <is>
          <t>nyu</t>
        </is>
      </c>
      <c r="R226" t="inlineStr">
        <is>
          <t xml:space="preserve">BF </t>
        </is>
      </c>
      <c r="S226" t="n">
        <v>4</v>
      </c>
      <c r="T226" t="n">
        <v>4</v>
      </c>
      <c r="U226" t="inlineStr">
        <is>
          <t>1999-04-08</t>
        </is>
      </c>
      <c r="V226" t="inlineStr">
        <is>
          <t>1999-04-08</t>
        </is>
      </c>
      <c r="W226" t="inlineStr">
        <is>
          <t>1991-02-04</t>
        </is>
      </c>
      <c r="X226" t="inlineStr">
        <is>
          <t>1991-02-04</t>
        </is>
      </c>
      <c r="Y226" t="n">
        <v>973</v>
      </c>
      <c r="Z226" t="n">
        <v>890</v>
      </c>
      <c r="AA226" t="n">
        <v>994</v>
      </c>
      <c r="AB226" t="n">
        <v>8</v>
      </c>
      <c r="AC226" t="n">
        <v>8</v>
      </c>
      <c r="AD226" t="n">
        <v>29</v>
      </c>
      <c r="AE226" t="n">
        <v>33</v>
      </c>
      <c r="AF226" t="n">
        <v>10</v>
      </c>
      <c r="AG226" t="n">
        <v>10</v>
      </c>
      <c r="AH226" t="n">
        <v>7</v>
      </c>
      <c r="AI226" t="n">
        <v>8</v>
      </c>
      <c r="AJ226" t="n">
        <v>13</v>
      </c>
      <c r="AK226" t="n">
        <v>17</v>
      </c>
      <c r="AL226" t="n">
        <v>6</v>
      </c>
      <c r="AM226" t="n">
        <v>6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HYPERLINK("http://catalog.hathitrust.org/Record/000738719","HathiTrust Record")</f>
        <v/>
      </c>
      <c r="AS226">
        <f>HYPERLINK("https://creighton-primo.hosted.exlibrisgroup.com/primo-explore/search?tab=default_tab&amp;search_scope=EVERYTHING&amp;vid=01CRU&amp;lang=en_US&amp;offset=0&amp;query=any,contains,991004083089702656","Catalog Record")</f>
        <v/>
      </c>
      <c r="AT226">
        <f>HYPERLINK("http://www.worldcat.org/oclc/2331265","WorldCat Record")</f>
        <v/>
      </c>
      <c r="AU226" t="inlineStr">
        <is>
          <t>54124206:eng</t>
        </is>
      </c>
      <c r="AV226" t="inlineStr">
        <is>
          <t>2331265</t>
        </is>
      </c>
      <c r="AW226" t="inlineStr">
        <is>
          <t>991004083089702656</t>
        </is>
      </c>
      <c r="AX226" t="inlineStr">
        <is>
          <t>991004083089702656</t>
        </is>
      </c>
      <c r="AY226" t="inlineStr">
        <is>
          <t>2263568580002656</t>
        </is>
      </c>
      <c r="AZ226" t="inlineStr">
        <is>
          <t>BOOK</t>
        </is>
      </c>
      <c r="BB226" t="inlineStr">
        <is>
          <t>9780399114410</t>
        </is>
      </c>
      <c r="BC226" t="inlineStr">
        <is>
          <t>32285000470707</t>
        </is>
      </c>
      <c r="BD226" t="inlineStr">
        <is>
          <t>893775596</t>
        </is>
      </c>
    </row>
    <row r="227">
      <c r="A227" t="inlineStr">
        <is>
          <t>No</t>
        </is>
      </c>
      <c r="B227" t="inlineStr">
        <is>
          <t>BF173.J85 H63</t>
        </is>
      </c>
      <c r="C227" t="inlineStr">
        <is>
          <t>0                      BF 0173000J  85                 H  63</t>
        </is>
      </c>
      <c r="D227" t="inlineStr">
        <is>
          <t>Jung in context : modernity and the making of a psychology / Peter Homans.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Homans, Peter.</t>
        </is>
      </c>
      <c r="L227" t="inlineStr">
        <is>
          <t>Chicago : University of Chicago Press, 1979.</t>
        </is>
      </c>
      <c r="M227" t="inlineStr">
        <is>
          <t>1979</t>
        </is>
      </c>
      <c r="O227" t="inlineStr">
        <is>
          <t>eng</t>
        </is>
      </c>
      <c r="P227" t="inlineStr">
        <is>
          <t>ilu</t>
        </is>
      </c>
      <c r="R227" t="inlineStr">
        <is>
          <t xml:space="preserve">BF </t>
        </is>
      </c>
      <c r="S227" t="n">
        <v>4</v>
      </c>
      <c r="T227" t="n">
        <v>4</v>
      </c>
      <c r="U227" t="inlineStr">
        <is>
          <t>2008-11-01</t>
        </is>
      </c>
      <c r="V227" t="inlineStr">
        <is>
          <t>2008-11-01</t>
        </is>
      </c>
      <c r="W227" t="inlineStr">
        <is>
          <t>1990-08-15</t>
        </is>
      </c>
      <c r="X227" t="inlineStr">
        <is>
          <t>1990-08-15</t>
        </is>
      </c>
      <c r="Y227" t="n">
        <v>839</v>
      </c>
      <c r="Z227" t="n">
        <v>715</v>
      </c>
      <c r="AA227" t="n">
        <v>794</v>
      </c>
      <c r="AB227" t="n">
        <v>3</v>
      </c>
      <c r="AC227" t="n">
        <v>3</v>
      </c>
      <c r="AD227" t="n">
        <v>33</v>
      </c>
      <c r="AE227" t="n">
        <v>36</v>
      </c>
      <c r="AF227" t="n">
        <v>12</v>
      </c>
      <c r="AG227" t="n">
        <v>15</v>
      </c>
      <c r="AH227" t="n">
        <v>9</v>
      </c>
      <c r="AI227" t="n">
        <v>9</v>
      </c>
      <c r="AJ227" t="n">
        <v>17</v>
      </c>
      <c r="AK227" t="n">
        <v>18</v>
      </c>
      <c r="AL227" t="n">
        <v>2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HYPERLINK("https://creighton-primo.hosted.exlibrisgroup.com/primo-explore/search?tab=default_tab&amp;search_scope=EVERYTHING&amp;vid=01CRU&amp;lang=en_US&amp;offset=0&amp;query=any,contains,991004686459702656","Catalog Record")</f>
        <v/>
      </c>
      <c r="AT227">
        <f>HYPERLINK("http://www.worldcat.org/oclc/4593155","WorldCat Record")</f>
        <v/>
      </c>
      <c r="AU227" t="inlineStr">
        <is>
          <t>54271193:eng</t>
        </is>
      </c>
      <c r="AV227" t="inlineStr">
        <is>
          <t>4593155</t>
        </is>
      </c>
      <c r="AW227" t="inlineStr">
        <is>
          <t>991004686459702656</t>
        </is>
      </c>
      <c r="AX227" t="inlineStr">
        <is>
          <t>991004686459702656</t>
        </is>
      </c>
      <c r="AY227" t="inlineStr">
        <is>
          <t>2271086220002656</t>
        </is>
      </c>
      <c r="AZ227" t="inlineStr">
        <is>
          <t>BOOK</t>
        </is>
      </c>
      <c r="BB227" t="inlineStr">
        <is>
          <t>9780226351087</t>
        </is>
      </c>
      <c r="BC227" t="inlineStr">
        <is>
          <t>32285000282797</t>
        </is>
      </c>
      <c r="BD227" t="inlineStr">
        <is>
          <t>893612644</t>
        </is>
      </c>
    </row>
    <row r="228">
      <c r="A228" t="inlineStr">
        <is>
          <t>No</t>
        </is>
      </c>
      <c r="B228" t="inlineStr">
        <is>
          <t>BF173.J85 P66</t>
        </is>
      </c>
      <c r="C228" t="inlineStr">
        <is>
          <t>0                      BF 0173000J  85                 P  66</t>
        </is>
      </c>
      <c r="D228" t="inlineStr">
        <is>
          <t>Jung, synchronicity, &amp; human destiny; noncausal dimensions of human experience.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Progoff, Ira.</t>
        </is>
      </c>
      <c r="L228" t="inlineStr">
        <is>
          <t>New York, Julian Press, [1973]</t>
        </is>
      </c>
      <c r="M228" t="inlineStr">
        <is>
          <t>1973</t>
        </is>
      </c>
      <c r="O228" t="inlineStr">
        <is>
          <t>eng</t>
        </is>
      </c>
      <c r="P228" t="inlineStr">
        <is>
          <t>nyu</t>
        </is>
      </c>
      <c r="R228" t="inlineStr">
        <is>
          <t xml:space="preserve">BF </t>
        </is>
      </c>
      <c r="S228" t="n">
        <v>4</v>
      </c>
      <c r="T228" t="n">
        <v>4</v>
      </c>
      <c r="U228" t="inlineStr">
        <is>
          <t>2002-10-08</t>
        </is>
      </c>
      <c r="V228" t="inlineStr">
        <is>
          <t>2002-10-08</t>
        </is>
      </c>
      <c r="W228" t="inlineStr">
        <is>
          <t>1990-09-14</t>
        </is>
      </c>
      <c r="X228" t="inlineStr">
        <is>
          <t>1990-09-14</t>
        </is>
      </c>
      <c r="Y228" t="n">
        <v>479</v>
      </c>
      <c r="Z228" t="n">
        <v>429</v>
      </c>
      <c r="AA228" t="n">
        <v>543</v>
      </c>
      <c r="AB228" t="n">
        <v>3</v>
      </c>
      <c r="AC228" t="n">
        <v>3</v>
      </c>
      <c r="AD228" t="n">
        <v>19</v>
      </c>
      <c r="AE228" t="n">
        <v>22</v>
      </c>
      <c r="AF228" t="n">
        <v>6</v>
      </c>
      <c r="AG228" t="n">
        <v>7</v>
      </c>
      <c r="AH228" t="n">
        <v>6</v>
      </c>
      <c r="AI228" t="n">
        <v>6</v>
      </c>
      <c r="AJ228" t="n">
        <v>8</v>
      </c>
      <c r="AK228" t="n">
        <v>11</v>
      </c>
      <c r="AL228" t="n">
        <v>2</v>
      </c>
      <c r="AM228" t="n">
        <v>2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HYPERLINK("http://catalog.hathitrust.org/Record/000656860","HathiTrust Record")</f>
        <v/>
      </c>
      <c r="AS228">
        <f>HYPERLINK("https://creighton-primo.hosted.exlibrisgroup.com/primo-explore/search?tab=default_tab&amp;search_scope=EVERYTHING&amp;vid=01CRU&amp;lang=en_US&amp;offset=0&amp;query=any,contains,991003241159702656","Catalog Record")</f>
        <v/>
      </c>
      <c r="AT228">
        <f>HYPERLINK("http://www.worldcat.org/oclc/763819","WorldCat Record")</f>
        <v/>
      </c>
      <c r="AU228" t="inlineStr">
        <is>
          <t>572744:eng</t>
        </is>
      </c>
      <c r="AV228" t="inlineStr">
        <is>
          <t>763819</t>
        </is>
      </c>
      <c r="AW228" t="inlineStr">
        <is>
          <t>991003241159702656</t>
        </is>
      </c>
      <c r="AX228" t="inlineStr">
        <is>
          <t>991003241159702656</t>
        </is>
      </c>
      <c r="AY228" t="inlineStr">
        <is>
          <t>2266623480002656</t>
        </is>
      </c>
      <c r="AZ228" t="inlineStr">
        <is>
          <t>BOOK</t>
        </is>
      </c>
      <c r="BB228" t="inlineStr">
        <is>
          <t>9780870970566</t>
        </is>
      </c>
      <c r="BC228" t="inlineStr">
        <is>
          <t>32285000304716</t>
        </is>
      </c>
      <c r="BD228" t="inlineStr">
        <is>
          <t>893623293</t>
        </is>
      </c>
    </row>
    <row r="229">
      <c r="A229" t="inlineStr">
        <is>
          <t>No</t>
        </is>
      </c>
      <c r="B229" t="inlineStr">
        <is>
          <t>BF173.J85 S28 1985</t>
        </is>
      </c>
      <c r="C229" t="inlineStr">
        <is>
          <t>0                      BF 0173000J  85                 S  28          1985</t>
        </is>
      </c>
      <c r="D229" t="inlineStr">
        <is>
          <t>Jung and the post-Jungians / Andrew Samuels.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Samuels, Andrew.</t>
        </is>
      </c>
      <c r="L229" t="inlineStr">
        <is>
          <t>London ; Boston : Routledge &amp; K. Paul, 1985.</t>
        </is>
      </c>
      <c r="M229" t="inlineStr">
        <is>
          <t>1985</t>
        </is>
      </c>
      <c r="O229" t="inlineStr">
        <is>
          <t>eng</t>
        </is>
      </c>
      <c r="P229" t="inlineStr">
        <is>
          <t>enk</t>
        </is>
      </c>
      <c r="R229" t="inlineStr">
        <is>
          <t xml:space="preserve">BF </t>
        </is>
      </c>
      <c r="S229" t="n">
        <v>4</v>
      </c>
      <c r="T229" t="n">
        <v>4</v>
      </c>
      <c r="U229" t="inlineStr">
        <is>
          <t>1999-04-26</t>
        </is>
      </c>
      <c r="V229" t="inlineStr">
        <is>
          <t>1999-04-26</t>
        </is>
      </c>
      <c r="W229" t="inlineStr">
        <is>
          <t>1990-08-15</t>
        </is>
      </c>
      <c r="X229" t="inlineStr">
        <is>
          <t>1990-08-15</t>
        </is>
      </c>
      <c r="Y229" t="n">
        <v>635</v>
      </c>
      <c r="Z229" t="n">
        <v>455</v>
      </c>
      <c r="AA229" t="n">
        <v>514</v>
      </c>
      <c r="AB229" t="n">
        <v>3</v>
      </c>
      <c r="AC229" t="n">
        <v>3</v>
      </c>
      <c r="AD229" t="n">
        <v>21</v>
      </c>
      <c r="AE229" t="n">
        <v>23</v>
      </c>
      <c r="AF229" t="n">
        <v>9</v>
      </c>
      <c r="AG229" t="n">
        <v>9</v>
      </c>
      <c r="AH229" t="n">
        <v>3</v>
      </c>
      <c r="AI229" t="n">
        <v>4</v>
      </c>
      <c r="AJ229" t="n">
        <v>12</v>
      </c>
      <c r="AK229" t="n">
        <v>13</v>
      </c>
      <c r="AL229" t="n">
        <v>2</v>
      </c>
      <c r="AM229" t="n">
        <v>2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HYPERLINK("http://catalog.hathitrust.org/Record/000363014","HathiTrust Record")</f>
        <v/>
      </c>
      <c r="AS229">
        <f>HYPERLINK("https://creighton-primo.hosted.exlibrisgroup.com/primo-explore/search?tab=default_tab&amp;search_scope=EVERYTHING&amp;vid=01CRU&amp;lang=en_US&amp;offset=0&amp;query=any,contains,991000425569702656","Catalog Record")</f>
        <v/>
      </c>
      <c r="AT229">
        <f>HYPERLINK("http://www.worldcat.org/oclc/10753158","WorldCat Record")</f>
        <v/>
      </c>
      <c r="AU229" t="inlineStr">
        <is>
          <t>884837:eng</t>
        </is>
      </c>
      <c r="AV229" t="inlineStr">
        <is>
          <t>10753158</t>
        </is>
      </c>
      <c r="AW229" t="inlineStr">
        <is>
          <t>991000425569702656</t>
        </is>
      </c>
      <c r="AX229" t="inlineStr">
        <is>
          <t>991000425569702656</t>
        </is>
      </c>
      <c r="AY229" t="inlineStr">
        <is>
          <t>2265425330002656</t>
        </is>
      </c>
      <c r="AZ229" t="inlineStr">
        <is>
          <t>BOOK</t>
        </is>
      </c>
      <c r="BB229" t="inlineStr">
        <is>
          <t>9780710099587</t>
        </is>
      </c>
      <c r="BC229" t="inlineStr">
        <is>
          <t>32285000282821</t>
        </is>
      </c>
      <c r="BD229" t="inlineStr">
        <is>
          <t>893796631</t>
        </is>
      </c>
    </row>
    <row r="230">
      <c r="A230" t="inlineStr">
        <is>
          <t>No</t>
        </is>
      </c>
      <c r="B230" t="inlineStr">
        <is>
          <t>BF173.J85 S413</t>
        </is>
      </c>
      <c r="C230" t="inlineStr">
        <is>
          <t>0                      BF 0173000J  85                 S  413</t>
        </is>
      </c>
      <c r="D230" t="inlineStr">
        <is>
          <t>C. G. Jung and Hermann Hesse : a record of two friendships / translated by Frank MacShane.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Serrano, Miguel, 1917-2009.</t>
        </is>
      </c>
      <c r="L230" t="inlineStr">
        <is>
          <t>New York : Schocken Books, [1966]</t>
        </is>
      </c>
      <c r="M230" t="inlineStr">
        <is>
          <t>1966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BF </t>
        </is>
      </c>
      <c r="S230" t="n">
        <v>4</v>
      </c>
      <c r="T230" t="n">
        <v>4</v>
      </c>
      <c r="U230" t="inlineStr">
        <is>
          <t>2009-07-22</t>
        </is>
      </c>
      <c r="V230" t="inlineStr">
        <is>
          <t>2009-07-22</t>
        </is>
      </c>
      <c r="W230" t="inlineStr">
        <is>
          <t>1996-04-22</t>
        </is>
      </c>
      <c r="X230" t="inlineStr">
        <is>
          <t>1996-04-22</t>
        </is>
      </c>
      <c r="Y230" t="n">
        <v>592</v>
      </c>
      <c r="Z230" t="n">
        <v>557</v>
      </c>
      <c r="AA230" t="n">
        <v>663</v>
      </c>
      <c r="AB230" t="n">
        <v>3</v>
      </c>
      <c r="AC230" t="n">
        <v>5</v>
      </c>
      <c r="AD230" t="n">
        <v>25</v>
      </c>
      <c r="AE230" t="n">
        <v>31</v>
      </c>
      <c r="AF230" t="n">
        <v>11</v>
      </c>
      <c r="AG230" t="n">
        <v>13</v>
      </c>
      <c r="AH230" t="n">
        <v>3</v>
      </c>
      <c r="AI230" t="n">
        <v>6</v>
      </c>
      <c r="AJ230" t="n">
        <v>17</v>
      </c>
      <c r="AK230" t="n">
        <v>19</v>
      </c>
      <c r="AL230" t="n">
        <v>2</v>
      </c>
      <c r="AM230" t="n">
        <v>3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HYPERLINK("https://creighton-primo.hosted.exlibrisgroup.com/primo-explore/search?tab=default_tab&amp;search_scope=EVERYTHING&amp;vid=01CRU&amp;lang=en_US&amp;offset=0&amp;query=any,contains,991003181649702656","Catalog Record")</f>
        <v/>
      </c>
      <c r="AT230">
        <f>HYPERLINK("http://www.worldcat.org/oclc/711876","WorldCat Record")</f>
        <v/>
      </c>
      <c r="AU230" t="inlineStr">
        <is>
          <t>1955502:eng</t>
        </is>
      </c>
      <c r="AV230" t="inlineStr">
        <is>
          <t>711876</t>
        </is>
      </c>
      <c r="AW230" t="inlineStr">
        <is>
          <t>991003181649702656</t>
        </is>
      </c>
      <c r="AX230" t="inlineStr">
        <is>
          <t>991003181649702656</t>
        </is>
      </c>
      <c r="AY230" t="inlineStr">
        <is>
          <t>2261924990002656</t>
        </is>
      </c>
      <c r="AZ230" t="inlineStr">
        <is>
          <t>BOOK</t>
        </is>
      </c>
      <c r="BC230" t="inlineStr">
        <is>
          <t>32285002155843</t>
        </is>
      </c>
      <c r="BD230" t="inlineStr">
        <is>
          <t>893717388</t>
        </is>
      </c>
    </row>
    <row r="231">
      <c r="A231" t="inlineStr">
        <is>
          <t>No</t>
        </is>
      </c>
      <c r="B231" t="inlineStr">
        <is>
          <t>BF175 .E74 1975</t>
        </is>
      </c>
      <c r="C231" t="inlineStr">
        <is>
          <t>0                      BF 0175000E  74          1975</t>
        </is>
      </c>
      <c r="D231" t="inlineStr">
        <is>
          <t>Life history and the historical moment / Erik H. Erikson.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Erikson, Erik H. (Erik Homburger), 1902-1994.</t>
        </is>
      </c>
      <c r="L231" t="inlineStr">
        <is>
          <t>New York : Norton, [1975]</t>
        </is>
      </c>
      <c r="M231" t="inlineStr">
        <is>
          <t>1975</t>
        </is>
      </c>
      <c r="N231" t="inlineStr">
        <is>
          <t>1st ed.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BF </t>
        </is>
      </c>
      <c r="S231" t="n">
        <v>2</v>
      </c>
      <c r="T231" t="n">
        <v>2</v>
      </c>
      <c r="U231" t="inlineStr">
        <is>
          <t>1998-11-03</t>
        </is>
      </c>
      <c r="V231" t="inlineStr">
        <is>
          <t>1998-11-03</t>
        </is>
      </c>
      <c r="W231" t="inlineStr">
        <is>
          <t>1996-07-24</t>
        </is>
      </c>
      <c r="X231" t="inlineStr">
        <is>
          <t>1996-07-24</t>
        </is>
      </c>
      <c r="Y231" t="n">
        <v>1397</v>
      </c>
      <c r="Z231" t="n">
        <v>1241</v>
      </c>
      <c r="AA231" t="n">
        <v>1248</v>
      </c>
      <c r="AB231" t="n">
        <v>6</v>
      </c>
      <c r="AC231" t="n">
        <v>6</v>
      </c>
      <c r="AD231" t="n">
        <v>42</v>
      </c>
      <c r="AE231" t="n">
        <v>42</v>
      </c>
      <c r="AF231" t="n">
        <v>20</v>
      </c>
      <c r="AG231" t="n">
        <v>20</v>
      </c>
      <c r="AH231" t="n">
        <v>8</v>
      </c>
      <c r="AI231" t="n">
        <v>8</v>
      </c>
      <c r="AJ231" t="n">
        <v>21</v>
      </c>
      <c r="AK231" t="n">
        <v>21</v>
      </c>
      <c r="AL231" t="n">
        <v>3</v>
      </c>
      <c r="AM231" t="n">
        <v>3</v>
      </c>
      <c r="AN231" t="n">
        <v>0</v>
      </c>
      <c r="AO231" t="n">
        <v>0</v>
      </c>
      <c r="AP231" t="inlineStr">
        <is>
          <t>No</t>
        </is>
      </c>
      <c r="AQ231" t="inlineStr">
        <is>
          <t>No</t>
        </is>
      </c>
      <c r="AS231">
        <f>HYPERLINK("https://creighton-primo.hosted.exlibrisgroup.com/primo-explore/search?tab=default_tab&amp;search_scope=EVERYTHING&amp;vid=01CRU&amp;lang=en_US&amp;offset=0&amp;query=any,contains,991003503699702656","Catalog Record")</f>
        <v/>
      </c>
      <c r="AT231">
        <f>HYPERLINK("http://www.worldcat.org/oclc/1055523","WorldCat Record")</f>
        <v/>
      </c>
      <c r="AU231" t="inlineStr">
        <is>
          <t>8907051577:eng</t>
        </is>
      </c>
      <c r="AV231" t="inlineStr">
        <is>
          <t>1055523</t>
        </is>
      </c>
      <c r="AW231" t="inlineStr">
        <is>
          <t>991003503699702656</t>
        </is>
      </c>
      <c r="AX231" t="inlineStr">
        <is>
          <t>991003503699702656</t>
        </is>
      </c>
      <c r="AY231" t="inlineStr">
        <is>
          <t>2269828170002656</t>
        </is>
      </c>
      <c r="AZ231" t="inlineStr">
        <is>
          <t>BOOK</t>
        </is>
      </c>
      <c r="BB231" t="inlineStr">
        <is>
          <t>9780393011036</t>
        </is>
      </c>
      <c r="BC231" t="inlineStr">
        <is>
          <t>32285002236122</t>
        </is>
      </c>
      <c r="BD231" t="inlineStr">
        <is>
          <t>893252433</t>
        </is>
      </c>
    </row>
    <row r="232">
      <c r="A232" t="inlineStr">
        <is>
          <t>No</t>
        </is>
      </c>
      <c r="B232" t="inlineStr">
        <is>
          <t>BF175 .F1513</t>
        </is>
      </c>
      <c r="C232" t="inlineStr">
        <is>
          <t>0                      BF 0175000F  1513</t>
        </is>
      </c>
      <c r="D232" t="inlineStr">
        <is>
          <t>Psychology of religion / Heije Faber ; [translated by Margaret Kohl].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Faber, Heije, 1907-2001.</t>
        </is>
      </c>
      <c r="L232" t="inlineStr">
        <is>
          <t>Philadelphia : Westminster Press, c1975.</t>
        </is>
      </c>
      <c r="M232" t="inlineStr">
        <is>
          <t>1975</t>
        </is>
      </c>
      <c r="O232" t="inlineStr">
        <is>
          <t>eng</t>
        </is>
      </c>
      <c r="P232" t="inlineStr">
        <is>
          <t>pau</t>
        </is>
      </c>
      <c r="R232" t="inlineStr">
        <is>
          <t xml:space="preserve">BF </t>
        </is>
      </c>
      <c r="S232" t="n">
        <v>1</v>
      </c>
      <c r="T232" t="n">
        <v>1</v>
      </c>
      <c r="U232" t="inlineStr">
        <is>
          <t>2001-11-28</t>
        </is>
      </c>
      <c r="V232" t="inlineStr">
        <is>
          <t>2001-11-28</t>
        </is>
      </c>
      <c r="W232" t="inlineStr">
        <is>
          <t>1997-09-24</t>
        </is>
      </c>
      <c r="X232" t="inlineStr">
        <is>
          <t>1997-09-24</t>
        </is>
      </c>
      <c r="Y232" t="n">
        <v>624</v>
      </c>
      <c r="Z232" t="n">
        <v>590</v>
      </c>
      <c r="AA232" t="n">
        <v>637</v>
      </c>
      <c r="AB232" t="n">
        <v>3</v>
      </c>
      <c r="AC232" t="n">
        <v>4</v>
      </c>
      <c r="AD232" t="n">
        <v>28</v>
      </c>
      <c r="AE232" t="n">
        <v>30</v>
      </c>
      <c r="AF232" t="n">
        <v>14</v>
      </c>
      <c r="AG232" t="n">
        <v>14</v>
      </c>
      <c r="AH232" t="n">
        <v>5</v>
      </c>
      <c r="AI232" t="n">
        <v>5</v>
      </c>
      <c r="AJ232" t="n">
        <v>15</v>
      </c>
      <c r="AK232" t="n">
        <v>16</v>
      </c>
      <c r="AL232" t="n">
        <v>2</v>
      </c>
      <c r="AM232" t="n">
        <v>3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HYPERLINK("http://catalog.hathitrust.org/Record/102067808","HathiTrust Record")</f>
        <v/>
      </c>
      <c r="AS232">
        <f>HYPERLINK("https://creighton-primo.hosted.exlibrisgroup.com/primo-explore/search?tab=default_tab&amp;search_scope=EVERYTHING&amp;vid=01CRU&amp;lang=en_US&amp;offset=0&amp;query=any,contains,991003962319702656","Catalog Record")</f>
        <v/>
      </c>
      <c r="AT232">
        <f>HYPERLINK("http://www.worldcat.org/oclc/1975999","WorldCat Record")</f>
        <v/>
      </c>
      <c r="AU232" t="inlineStr">
        <is>
          <t>1778447:eng</t>
        </is>
      </c>
      <c r="AV232" t="inlineStr">
        <is>
          <t>1975999</t>
        </is>
      </c>
      <c r="AW232" t="inlineStr">
        <is>
          <t>991003962319702656</t>
        </is>
      </c>
      <c r="AX232" t="inlineStr">
        <is>
          <t>991003962319702656</t>
        </is>
      </c>
      <c r="AY232" t="inlineStr">
        <is>
          <t>2266746770002656</t>
        </is>
      </c>
      <c r="AZ232" t="inlineStr">
        <is>
          <t>BOOK</t>
        </is>
      </c>
      <c r="BB232" t="inlineStr">
        <is>
          <t>9780664207489</t>
        </is>
      </c>
      <c r="BC232" t="inlineStr">
        <is>
          <t>32285003250361</t>
        </is>
      </c>
      <c r="BD232" t="inlineStr">
        <is>
          <t>893506206</t>
        </is>
      </c>
    </row>
    <row r="233">
      <c r="A233" t="inlineStr">
        <is>
          <t>No</t>
        </is>
      </c>
      <c r="B233" t="inlineStr">
        <is>
          <t>BF175 .H62 1983</t>
        </is>
      </c>
      <c r="C233" t="inlineStr">
        <is>
          <t>0                      BF 0175000H  62          1983</t>
        </is>
      </c>
      <c r="D233" t="inlineStr">
        <is>
          <t>Jung's struggle with Freud / George B. Hogenson.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Hogenson, George B.</t>
        </is>
      </c>
      <c r="L233" t="inlineStr">
        <is>
          <t>Notre Dame : University of Notre Dame Press, c1983.</t>
        </is>
      </c>
      <c r="M233" t="inlineStr">
        <is>
          <t>1983</t>
        </is>
      </c>
      <c r="O233" t="inlineStr">
        <is>
          <t>eng</t>
        </is>
      </c>
      <c r="P233" t="inlineStr">
        <is>
          <t>inu</t>
        </is>
      </c>
      <c r="R233" t="inlineStr">
        <is>
          <t xml:space="preserve">BF </t>
        </is>
      </c>
      <c r="S233" t="n">
        <v>4</v>
      </c>
      <c r="T233" t="n">
        <v>4</v>
      </c>
      <c r="U233" t="inlineStr">
        <is>
          <t>1999-03-23</t>
        </is>
      </c>
      <c r="V233" t="inlineStr">
        <is>
          <t>1999-03-23</t>
        </is>
      </c>
      <c r="W233" t="inlineStr">
        <is>
          <t>1990-08-16</t>
        </is>
      </c>
      <c r="X233" t="inlineStr">
        <is>
          <t>1990-08-16</t>
        </is>
      </c>
      <c r="Y233" t="n">
        <v>587</v>
      </c>
      <c r="Z233" t="n">
        <v>503</v>
      </c>
      <c r="AA233" t="n">
        <v>573</v>
      </c>
      <c r="AB233" t="n">
        <v>5</v>
      </c>
      <c r="AC233" t="n">
        <v>5</v>
      </c>
      <c r="AD233" t="n">
        <v>25</v>
      </c>
      <c r="AE233" t="n">
        <v>27</v>
      </c>
      <c r="AF233" t="n">
        <v>10</v>
      </c>
      <c r="AG233" t="n">
        <v>12</v>
      </c>
      <c r="AH233" t="n">
        <v>6</v>
      </c>
      <c r="AI233" t="n">
        <v>6</v>
      </c>
      <c r="AJ233" t="n">
        <v>13</v>
      </c>
      <c r="AK233" t="n">
        <v>14</v>
      </c>
      <c r="AL233" t="n">
        <v>3</v>
      </c>
      <c r="AM233" t="n">
        <v>3</v>
      </c>
      <c r="AN233" t="n">
        <v>0</v>
      </c>
      <c r="AO233" t="n">
        <v>0</v>
      </c>
      <c r="AP233" t="inlineStr">
        <is>
          <t>No</t>
        </is>
      </c>
      <c r="AQ233" t="inlineStr">
        <is>
          <t>Yes</t>
        </is>
      </c>
      <c r="AR233">
        <f>HYPERLINK("http://catalog.hathitrust.org/Record/000318836","HathiTrust Record")</f>
        <v/>
      </c>
      <c r="AS233">
        <f>HYPERLINK("https://creighton-primo.hosted.exlibrisgroup.com/primo-explore/search?tab=default_tab&amp;search_scope=EVERYTHING&amp;vid=01CRU&amp;lang=en_US&amp;offset=0&amp;query=any,contains,991000126719702656","Catalog Record")</f>
        <v/>
      </c>
      <c r="AT233">
        <f>HYPERLINK("http://www.worldcat.org/oclc/9083785","WorldCat Record")</f>
        <v/>
      </c>
      <c r="AU233" t="inlineStr">
        <is>
          <t>430605:eng</t>
        </is>
      </c>
      <c r="AV233" t="inlineStr">
        <is>
          <t>9083785</t>
        </is>
      </c>
      <c r="AW233" t="inlineStr">
        <is>
          <t>991000126719702656</t>
        </is>
      </c>
      <c r="AX233" t="inlineStr">
        <is>
          <t>991000126719702656</t>
        </is>
      </c>
      <c r="AY233" t="inlineStr">
        <is>
          <t>2256594650002656</t>
        </is>
      </c>
      <c r="AZ233" t="inlineStr">
        <is>
          <t>BOOK</t>
        </is>
      </c>
      <c r="BB233" t="inlineStr">
        <is>
          <t>9780268012038</t>
        </is>
      </c>
      <c r="BC233" t="inlineStr">
        <is>
          <t>32285000283068</t>
        </is>
      </c>
      <c r="BD233" t="inlineStr">
        <is>
          <t>893783993</t>
        </is>
      </c>
    </row>
    <row r="234">
      <c r="A234" t="inlineStr">
        <is>
          <t>No</t>
        </is>
      </c>
      <c r="B234" t="inlineStr">
        <is>
          <t>BF175 .J28 1983</t>
        </is>
      </c>
      <c r="C234" t="inlineStr">
        <is>
          <t>0                      BF 0175000J  28          1983</t>
        </is>
      </c>
      <c r="D234" t="inlineStr">
        <is>
          <t>The repression of psychoanalysis : Otto Fenichel and the political freudians / Russell Jacoby.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Jacoby, Russell.</t>
        </is>
      </c>
      <c r="L234" t="inlineStr">
        <is>
          <t>New York : Basic Books, c1983.</t>
        </is>
      </c>
      <c r="M234" t="inlineStr">
        <is>
          <t>1983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BF </t>
        </is>
      </c>
      <c r="S234" t="n">
        <v>2</v>
      </c>
      <c r="T234" t="n">
        <v>2</v>
      </c>
      <c r="U234" t="inlineStr">
        <is>
          <t>2000-10-10</t>
        </is>
      </c>
      <c r="V234" t="inlineStr">
        <is>
          <t>2000-10-10</t>
        </is>
      </c>
      <c r="W234" t="inlineStr">
        <is>
          <t>1990-08-16</t>
        </is>
      </c>
      <c r="X234" t="inlineStr">
        <is>
          <t>1990-08-16</t>
        </is>
      </c>
      <c r="Y234" t="n">
        <v>321</v>
      </c>
      <c r="Z234" t="n">
        <v>268</v>
      </c>
      <c r="AA234" t="n">
        <v>333</v>
      </c>
      <c r="AB234" t="n">
        <v>4</v>
      </c>
      <c r="AC234" t="n">
        <v>4</v>
      </c>
      <c r="AD234" t="n">
        <v>14</v>
      </c>
      <c r="AE234" t="n">
        <v>17</v>
      </c>
      <c r="AF234" t="n">
        <v>3</v>
      </c>
      <c r="AG234" t="n">
        <v>3</v>
      </c>
      <c r="AH234" t="n">
        <v>3</v>
      </c>
      <c r="AI234" t="n">
        <v>4</v>
      </c>
      <c r="AJ234" t="n">
        <v>7</v>
      </c>
      <c r="AK234" t="n">
        <v>9</v>
      </c>
      <c r="AL234" t="n">
        <v>3</v>
      </c>
      <c r="AM234" t="n">
        <v>3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HYPERLINK("https://creighton-primo.hosted.exlibrisgroup.com/primo-explore/search?tab=default_tab&amp;search_scope=EVERYTHING&amp;vid=01CRU&amp;lang=en_US&amp;offset=0&amp;query=any,contains,991000257749702656","Catalog Record")</f>
        <v/>
      </c>
      <c r="AT234">
        <f>HYPERLINK("http://www.worldcat.org/oclc/9784260","WorldCat Record")</f>
        <v/>
      </c>
      <c r="AU234" t="inlineStr">
        <is>
          <t>6852604:eng</t>
        </is>
      </c>
      <c r="AV234" t="inlineStr">
        <is>
          <t>9784260</t>
        </is>
      </c>
      <c r="AW234" t="inlineStr">
        <is>
          <t>991000257749702656</t>
        </is>
      </c>
      <c r="AX234" t="inlineStr">
        <is>
          <t>991000257749702656</t>
        </is>
      </c>
      <c r="AY234" t="inlineStr">
        <is>
          <t>2268680970002656</t>
        </is>
      </c>
      <c r="AZ234" t="inlineStr">
        <is>
          <t>BOOK</t>
        </is>
      </c>
      <c r="BB234" t="inlineStr">
        <is>
          <t>9780465069163</t>
        </is>
      </c>
      <c r="BC234" t="inlineStr">
        <is>
          <t>32285000283076</t>
        </is>
      </c>
      <c r="BD234" t="inlineStr">
        <is>
          <t>893589304</t>
        </is>
      </c>
    </row>
    <row r="235">
      <c r="A235" t="inlineStr">
        <is>
          <t>No</t>
        </is>
      </c>
      <c r="B235" t="inlineStr">
        <is>
          <t>BF175 .L685 1983</t>
        </is>
      </c>
      <c r="C235" t="inlineStr">
        <is>
          <t>0                      BF 0175000L  685         1983</t>
        </is>
      </c>
      <c r="D235" t="inlineStr">
        <is>
          <t>Evil and the unconscious / Walter Lowe.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Lowe, Walter James, 1940-</t>
        </is>
      </c>
      <c r="L235" t="inlineStr">
        <is>
          <t>Chico, Calif. : Scholars Press, c1983.</t>
        </is>
      </c>
      <c r="M235" t="inlineStr">
        <is>
          <t>1983</t>
        </is>
      </c>
      <c r="O235" t="inlineStr">
        <is>
          <t>eng</t>
        </is>
      </c>
      <c r="P235" t="inlineStr">
        <is>
          <t>cau</t>
        </is>
      </c>
      <c r="Q235" t="inlineStr">
        <is>
          <t>Studies in religion / American Academy of Religion ; no. 30</t>
        </is>
      </c>
      <c r="R235" t="inlineStr">
        <is>
          <t xml:space="preserve">BF </t>
        </is>
      </c>
      <c r="S235" t="n">
        <v>2</v>
      </c>
      <c r="T235" t="n">
        <v>2</v>
      </c>
      <c r="U235" t="inlineStr">
        <is>
          <t>1998-11-08</t>
        </is>
      </c>
      <c r="V235" t="inlineStr">
        <is>
          <t>1998-11-08</t>
        </is>
      </c>
      <c r="W235" t="inlineStr">
        <is>
          <t>1990-08-16</t>
        </is>
      </c>
      <c r="X235" t="inlineStr">
        <is>
          <t>1990-08-16</t>
        </is>
      </c>
      <c r="Y235" t="n">
        <v>303</v>
      </c>
      <c r="Z235" t="n">
        <v>246</v>
      </c>
      <c r="AA235" t="n">
        <v>253</v>
      </c>
      <c r="AB235" t="n">
        <v>3</v>
      </c>
      <c r="AC235" t="n">
        <v>3</v>
      </c>
      <c r="AD235" t="n">
        <v>17</v>
      </c>
      <c r="AE235" t="n">
        <v>17</v>
      </c>
      <c r="AF235" t="n">
        <v>6</v>
      </c>
      <c r="AG235" t="n">
        <v>6</v>
      </c>
      <c r="AH235" t="n">
        <v>3</v>
      </c>
      <c r="AI235" t="n">
        <v>3</v>
      </c>
      <c r="AJ235" t="n">
        <v>12</v>
      </c>
      <c r="AK235" t="n">
        <v>12</v>
      </c>
      <c r="AL235" t="n">
        <v>2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HYPERLINK("http://catalog.hathitrust.org/Record/000338006","HathiTrust Record")</f>
        <v/>
      </c>
      <c r="AS235">
        <f>HYPERLINK("https://creighton-primo.hosted.exlibrisgroup.com/primo-explore/search?tab=default_tab&amp;search_scope=EVERYTHING&amp;vid=01CRU&amp;lang=en_US&amp;offset=0&amp;query=any,contains,991000087099702656","Catalog Record")</f>
        <v/>
      </c>
      <c r="AT235">
        <f>HYPERLINK("http://www.worldcat.org/oclc/8866524","WorldCat Record")</f>
        <v/>
      </c>
      <c r="AU235" t="inlineStr">
        <is>
          <t>42756919:eng</t>
        </is>
      </c>
      <c r="AV235" t="inlineStr">
        <is>
          <t>8866524</t>
        </is>
      </c>
      <c r="AW235" t="inlineStr">
        <is>
          <t>991000087099702656</t>
        </is>
      </c>
      <c r="AX235" t="inlineStr">
        <is>
          <t>991000087099702656</t>
        </is>
      </c>
      <c r="AY235" t="inlineStr">
        <is>
          <t>2262411610002656</t>
        </is>
      </c>
      <c r="AZ235" t="inlineStr">
        <is>
          <t>BOOK</t>
        </is>
      </c>
      <c r="BB235" t="inlineStr">
        <is>
          <t>9780891306009</t>
        </is>
      </c>
      <c r="BC235" t="inlineStr">
        <is>
          <t>32285000283084</t>
        </is>
      </c>
      <c r="BD235" t="inlineStr">
        <is>
          <t>893796395</t>
        </is>
      </c>
    </row>
    <row r="236">
      <c r="A236" t="inlineStr">
        <is>
          <t>No</t>
        </is>
      </c>
      <c r="B236" t="inlineStr">
        <is>
          <t>BF175 .P65</t>
        </is>
      </c>
      <c r="C236" t="inlineStr">
        <is>
          <t>0                      BF 0175000P  65</t>
        </is>
      </c>
      <c r="D236" t="inlineStr">
        <is>
          <t>Integrated ego psychology / by Norman A. Polansky.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Polansky, Norman A., 1918-2002.</t>
        </is>
      </c>
      <c r="L236" t="inlineStr">
        <is>
          <t>New York : Aldine, 1982.</t>
        </is>
      </c>
      <c r="M236" t="inlineStr">
        <is>
          <t>1982</t>
        </is>
      </c>
      <c r="O236" t="inlineStr">
        <is>
          <t>eng</t>
        </is>
      </c>
      <c r="P236" t="inlineStr">
        <is>
          <t>nyu</t>
        </is>
      </c>
      <c r="R236" t="inlineStr">
        <is>
          <t xml:space="preserve">BF </t>
        </is>
      </c>
      <c r="S236" t="n">
        <v>1</v>
      </c>
      <c r="T236" t="n">
        <v>1</v>
      </c>
      <c r="U236" t="inlineStr">
        <is>
          <t>2002-04-08</t>
        </is>
      </c>
      <c r="V236" t="inlineStr">
        <is>
          <t>2002-04-08</t>
        </is>
      </c>
      <c r="W236" t="inlineStr">
        <is>
          <t>1990-08-16</t>
        </is>
      </c>
      <c r="X236" t="inlineStr">
        <is>
          <t>1990-08-16</t>
        </is>
      </c>
      <c r="Y236" t="n">
        <v>311</v>
      </c>
      <c r="Z236" t="n">
        <v>249</v>
      </c>
      <c r="AA236" t="n">
        <v>353</v>
      </c>
      <c r="AB236" t="n">
        <v>2</v>
      </c>
      <c r="AC236" t="n">
        <v>2</v>
      </c>
      <c r="AD236" t="n">
        <v>7</v>
      </c>
      <c r="AE236" t="n">
        <v>12</v>
      </c>
      <c r="AF236" t="n">
        <v>1</v>
      </c>
      <c r="AG236" t="n">
        <v>3</v>
      </c>
      <c r="AH236" t="n">
        <v>2</v>
      </c>
      <c r="AI236" t="n">
        <v>3</v>
      </c>
      <c r="AJ236" t="n">
        <v>3</v>
      </c>
      <c r="AK236" t="n">
        <v>8</v>
      </c>
      <c r="AL236" t="n">
        <v>1</v>
      </c>
      <c r="AM236" t="n">
        <v>1</v>
      </c>
      <c r="AN236" t="n">
        <v>0</v>
      </c>
      <c r="AO236" t="n">
        <v>0</v>
      </c>
      <c r="AP236" t="inlineStr">
        <is>
          <t>No</t>
        </is>
      </c>
      <c r="AQ236" t="inlineStr">
        <is>
          <t>Yes</t>
        </is>
      </c>
      <c r="AR236">
        <f>HYPERLINK("http://catalog.hathitrust.org/Record/000101099","HathiTrust Record")</f>
        <v/>
      </c>
      <c r="AS236">
        <f>HYPERLINK("https://creighton-primo.hosted.exlibrisgroup.com/primo-explore/search?tab=default_tab&amp;search_scope=EVERYTHING&amp;vid=01CRU&amp;lang=en_US&amp;offset=0&amp;query=any,contains,991000032009702656","Catalog Record")</f>
        <v/>
      </c>
      <c r="AT236">
        <f>HYPERLINK("http://www.worldcat.org/oclc/8614491","WorldCat Record")</f>
        <v/>
      </c>
      <c r="AU236" t="inlineStr">
        <is>
          <t>24228858:eng</t>
        </is>
      </c>
      <c r="AV236" t="inlineStr">
        <is>
          <t>8614491</t>
        </is>
      </c>
      <c r="AW236" t="inlineStr">
        <is>
          <t>991000032009702656</t>
        </is>
      </c>
      <c r="AX236" t="inlineStr">
        <is>
          <t>991000032009702656</t>
        </is>
      </c>
      <c r="AY236" t="inlineStr">
        <is>
          <t>2255406180002656</t>
        </is>
      </c>
      <c r="AZ236" t="inlineStr">
        <is>
          <t>BOOK</t>
        </is>
      </c>
      <c r="BB236" t="inlineStr">
        <is>
          <t>9780202260891</t>
        </is>
      </c>
      <c r="BC236" t="inlineStr">
        <is>
          <t>32285000283100</t>
        </is>
      </c>
      <c r="BD236" t="inlineStr">
        <is>
          <t>893771315</t>
        </is>
      </c>
    </row>
    <row r="237">
      <c r="A237" t="inlineStr">
        <is>
          <t>No</t>
        </is>
      </c>
      <c r="B237" t="inlineStr">
        <is>
          <t>BF175 .S386</t>
        </is>
      </c>
      <c r="C237" t="inlineStr">
        <is>
          <t>0                      BF 0175000S  386</t>
        </is>
      </c>
      <c r="D237" t="inlineStr">
        <is>
          <t>The id and the regulatory principles of mental functioning.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Schur, Max.</t>
        </is>
      </c>
      <c r="L237" t="inlineStr">
        <is>
          <t>New York, International Universities Press [1966]</t>
        </is>
      </c>
      <c r="M237" t="inlineStr">
        <is>
          <t>1966</t>
        </is>
      </c>
      <c r="O237" t="inlineStr">
        <is>
          <t>eng</t>
        </is>
      </c>
      <c r="P237" t="inlineStr">
        <is>
          <t>nyu</t>
        </is>
      </c>
      <c r="Q237" t="inlineStr">
        <is>
          <t>Journal of the American Psychoanalytic Association. Monograph series ; no. 4</t>
        </is>
      </c>
      <c r="R237" t="inlineStr">
        <is>
          <t xml:space="preserve">BF </t>
        </is>
      </c>
      <c r="S237" t="n">
        <v>3</v>
      </c>
      <c r="T237" t="n">
        <v>3</v>
      </c>
      <c r="U237" t="inlineStr">
        <is>
          <t>2002-11-24</t>
        </is>
      </c>
      <c r="V237" t="inlineStr">
        <is>
          <t>2002-11-24</t>
        </is>
      </c>
      <c r="W237" t="inlineStr">
        <is>
          <t>1996-07-24</t>
        </is>
      </c>
      <c r="X237" t="inlineStr">
        <is>
          <t>1996-07-24</t>
        </is>
      </c>
      <c r="Y237" t="n">
        <v>282</v>
      </c>
      <c r="Z237" t="n">
        <v>245</v>
      </c>
      <c r="AA237" t="n">
        <v>278</v>
      </c>
      <c r="AB237" t="n">
        <v>3</v>
      </c>
      <c r="AC237" t="n">
        <v>3</v>
      </c>
      <c r="AD237" t="n">
        <v>11</v>
      </c>
      <c r="AE237" t="n">
        <v>12</v>
      </c>
      <c r="AF237" t="n">
        <v>3</v>
      </c>
      <c r="AG237" t="n">
        <v>3</v>
      </c>
      <c r="AH237" t="n">
        <v>1</v>
      </c>
      <c r="AI237" t="n">
        <v>2</v>
      </c>
      <c r="AJ237" t="n">
        <v>8</v>
      </c>
      <c r="AK237" t="n">
        <v>8</v>
      </c>
      <c r="AL237" t="n">
        <v>1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HYPERLINK("http://catalog.hathitrust.org/Record/000659343","HathiTrust Record")</f>
        <v/>
      </c>
      <c r="AS237">
        <f>HYPERLINK("https://creighton-primo.hosted.exlibrisgroup.com/primo-explore/search?tab=default_tab&amp;search_scope=EVERYTHING&amp;vid=01CRU&amp;lang=en_US&amp;offset=0&amp;query=any,contains,991005265839702656","Catalog Record")</f>
        <v/>
      </c>
      <c r="AT237">
        <f>HYPERLINK("http://www.worldcat.org/oclc/235086","WorldCat Record")</f>
        <v/>
      </c>
      <c r="AU237" t="inlineStr">
        <is>
          <t>1365616:eng</t>
        </is>
      </c>
      <c r="AV237" t="inlineStr">
        <is>
          <t>235086</t>
        </is>
      </c>
      <c r="AW237" t="inlineStr">
        <is>
          <t>991005265839702656</t>
        </is>
      </c>
      <c r="AX237" t="inlineStr">
        <is>
          <t>991005265839702656</t>
        </is>
      </c>
      <c r="AY237" t="inlineStr">
        <is>
          <t>2259501900002656</t>
        </is>
      </c>
      <c r="AZ237" t="inlineStr">
        <is>
          <t>BOOK</t>
        </is>
      </c>
      <c r="BC237" t="inlineStr">
        <is>
          <t>32285002236189</t>
        </is>
      </c>
      <c r="BD237" t="inlineStr">
        <is>
          <t>893808100</t>
        </is>
      </c>
    </row>
    <row r="238">
      <c r="A238" t="inlineStr">
        <is>
          <t>No</t>
        </is>
      </c>
      <c r="B238" t="inlineStr">
        <is>
          <t>BF175 .S664 1983</t>
        </is>
      </c>
      <c r="C238" t="inlineStr">
        <is>
          <t>0                      BF 0175000S  664         1983</t>
        </is>
      </c>
      <c r="D238" t="inlineStr">
        <is>
          <t>In Freud's shadow : Adler in context / Paul E. Stepansky.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Stepansky, Paul E.</t>
        </is>
      </c>
      <c r="L238" t="inlineStr">
        <is>
          <t>Hillside, N.J. : Analytic Press : Distributed by L. Erlbaum, c1983.</t>
        </is>
      </c>
      <c r="M238" t="inlineStr">
        <is>
          <t>1983</t>
        </is>
      </c>
      <c r="O238" t="inlineStr">
        <is>
          <t>eng</t>
        </is>
      </c>
      <c r="P238" t="inlineStr">
        <is>
          <t>nju</t>
        </is>
      </c>
      <c r="R238" t="inlineStr">
        <is>
          <t xml:space="preserve">BF </t>
        </is>
      </c>
      <c r="S238" t="n">
        <v>5</v>
      </c>
      <c r="T238" t="n">
        <v>5</v>
      </c>
      <c r="U238" t="inlineStr">
        <is>
          <t>2006-05-20</t>
        </is>
      </c>
      <c r="V238" t="inlineStr">
        <is>
          <t>2006-05-20</t>
        </is>
      </c>
      <c r="W238" t="inlineStr">
        <is>
          <t>1990-08-16</t>
        </is>
      </c>
      <c r="X238" t="inlineStr">
        <is>
          <t>1990-08-16</t>
        </is>
      </c>
      <c r="Y238" t="n">
        <v>379</v>
      </c>
      <c r="Z238" t="n">
        <v>313</v>
      </c>
      <c r="AA238" t="n">
        <v>342</v>
      </c>
      <c r="AB238" t="n">
        <v>2</v>
      </c>
      <c r="AC238" t="n">
        <v>2</v>
      </c>
      <c r="AD238" t="n">
        <v>14</v>
      </c>
      <c r="AE238" t="n">
        <v>14</v>
      </c>
      <c r="AF238" t="n">
        <v>4</v>
      </c>
      <c r="AG238" t="n">
        <v>4</v>
      </c>
      <c r="AH238" t="n">
        <v>3</v>
      </c>
      <c r="AI238" t="n">
        <v>3</v>
      </c>
      <c r="AJ238" t="n">
        <v>12</v>
      </c>
      <c r="AK238" t="n">
        <v>12</v>
      </c>
      <c r="AL238" t="n">
        <v>1</v>
      </c>
      <c r="AM238" t="n">
        <v>1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HYPERLINK("http://catalog.hathitrust.org/Record/000115849","HathiTrust Record")</f>
        <v/>
      </c>
      <c r="AS238">
        <f>HYPERLINK("https://creighton-primo.hosted.exlibrisgroup.com/primo-explore/search?tab=default_tab&amp;search_scope=EVERYTHING&amp;vid=01CRU&amp;lang=en_US&amp;offset=0&amp;query=any,contains,991000219119702656","Catalog Record")</f>
        <v/>
      </c>
      <c r="AT238">
        <f>HYPERLINK("http://www.worldcat.org/oclc/9575501","WorldCat Record")</f>
        <v/>
      </c>
      <c r="AU238" t="inlineStr">
        <is>
          <t>42856935:eng</t>
        </is>
      </c>
      <c r="AV238" t="inlineStr">
        <is>
          <t>9575501</t>
        </is>
      </c>
      <c r="AW238" t="inlineStr">
        <is>
          <t>991000219119702656</t>
        </is>
      </c>
      <c r="AX238" t="inlineStr">
        <is>
          <t>991000219119702656</t>
        </is>
      </c>
      <c r="AY238" t="inlineStr">
        <is>
          <t>2267074140002656</t>
        </is>
      </c>
      <c r="AZ238" t="inlineStr">
        <is>
          <t>BOOK</t>
        </is>
      </c>
      <c r="BB238" t="inlineStr">
        <is>
          <t>9780881630077</t>
        </is>
      </c>
      <c r="BC238" t="inlineStr">
        <is>
          <t>32285000283142</t>
        </is>
      </c>
      <c r="BD238" t="inlineStr">
        <is>
          <t>893626250</t>
        </is>
      </c>
    </row>
    <row r="239">
      <c r="A239" t="inlineStr">
        <is>
          <t>No</t>
        </is>
      </c>
      <c r="B239" t="inlineStr">
        <is>
          <t>BF175 .S668 1982</t>
        </is>
      </c>
      <c r="C239" t="inlineStr">
        <is>
          <t>0                      BF 0175000S  668         1982</t>
        </is>
      </c>
      <c r="D239" t="inlineStr">
        <is>
          <t>Archetypes, a natural history of the self / Anthony Stevens.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Stevens, Anthony.</t>
        </is>
      </c>
      <c r="L239" t="inlineStr">
        <is>
          <t>New York : Morrow, 1982.</t>
        </is>
      </c>
      <c r="M239" t="inlineStr">
        <is>
          <t>1982</t>
        </is>
      </c>
      <c r="N239" t="inlineStr">
        <is>
          <t>1st U.S. ed.</t>
        </is>
      </c>
      <c r="O239" t="inlineStr">
        <is>
          <t>eng</t>
        </is>
      </c>
      <c r="P239" t="inlineStr">
        <is>
          <t>nyu</t>
        </is>
      </c>
      <c r="R239" t="inlineStr">
        <is>
          <t xml:space="preserve">BF </t>
        </is>
      </c>
      <c r="S239" t="n">
        <v>7</v>
      </c>
      <c r="T239" t="n">
        <v>7</v>
      </c>
      <c r="U239" t="inlineStr">
        <is>
          <t>2010-04-05</t>
        </is>
      </c>
      <c r="V239" t="inlineStr">
        <is>
          <t>2010-04-05</t>
        </is>
      </c>
      <c r="W239" t="inlineStr">
        <is>
          <t>1990-08-16</t>
        </is>
      </c>
      <c r="X239" t="inlineStr">
        <is>
          <t>1990-08-16</t>
        </is>
      </c>
      <c r="Y239" t="n">
        <v>406</v>
      </c>
      <c r="Z239" t="n">
        <v>377</v>
      </c>
      <c r="AA239" t="n">
        <v>479</v>
      </c>
      <c r="AB239" t="n">
        <v>2</v>
      </c>
      <c r="AC239" t="n">
        <v>2</v>
      </c>
      <c r="AD239" t="n">
        <v>18</v>
      </c>
      <c r="AE239" t="n">
        <v>19</v>
      </c>
      <c r="AF239" t="n">
        <v>9</v>
      </c>
      <c r="AG239" t="n">
        <v>9</v>
      </c>
      <c r="AH239" t="n">
        <v>4</v>
      </c>
      <c r="AI239" t="n">
        <v>5</v>
      </c>
      <c r="AJ239" t="n">
        <v>11</v>
      </c>
      <c r="AK239" t="n">
        <v>12</v>
      </c>
      <c r="AL239" t="n">
        <v>1</v>
      </c>
      <c r="AM239" t="n">
        <v>1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HYPERLINK("http://catalog.hathitrust.org/Record/000102815","HathiTrust Record")</f>
        <v/>
      </c>
      <c r="AS239">
        <f>HYPERLINK("https://creighton-primo.hosted.exlibrisgroup.com/primo-explore/search?tab=default_tab&amp;search_scope=EVERYTHING&amp;vid=01CRU&amp;lang=en_US&amp;offset=0&amp;query=any,contains,991005219809702656","Catalog Record")</f>
        <v/>
      </c>
      <c r="AT239">
        <f>HYPERLINK("http://www.worldcat.org/oclc/8220256","WorldCat Record")</f>
        <v/>
      </c>
      <c r="AU239" t="inlineStr">
        <is>
          <t>5620995826:eng</t>
        </is>
      </c>
      <c r="AV239" t="inlineStr">
        <is>
          <t>8220256</t>
        </is>
      </c>
      <c r="AW239" t="inlineStr">
        <is>
          <t>991005219809702656</t>
        </is>
      </c>
      <c r="AX239" t="inlineStr">
        <is>
          <t>991005219809702656</t>
        </is>
      </c>
      <c r="AY239" t="inlineStr">
        <is>
          <t>2268114740002656</t>
        </is>
      </c>
      <c r="AZ239" t="inlineStr">
        <is>
          <t>BOOK</t>
        </is>
      </c>
      <c r="BB239" t="inlineStr">
        <is>
          <t>9780688007850</t>
        </is>
      </c>
      <c r="BC239" t="inlineStr">
        <is>
          <t>32285000283159</t>
        </is>
      </c>
      <c r="BD239" t="inlineStr">
        <is>
          <t>893701221</t>
        </is>
      </c>
    </row>
    <row r="240">
      <c r="A240" t="inlineStr">
        <is>
          <t>No</t>
        </is>
      </c>
      <c r="B240" t="inlineStr">
        <is>
          <t>BF175 .S9 1968</t>
        </is>
      </c>
      <c r="C240" t="inlineStr">
        <is>
          <t>0                      BF 0175000S  9           1968</t>
        </is>
      </c>
      <c r="D240" t="inlineStr">
        <is>
          <t>The ego and the self.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Symonds, Percival Mallon, 1893-1960.</t>
        </is>
      </c>
      <c r="L240" t="inlineStr">
        <is>
          <t>New York, Greenwood Press, 1968 [c1951]</t>
        </is>
      </c>
      <c r="M240" t="inlineStr">
        <is>
          <t>1968</t>
        </is>
      </c>
      <c r="O240" t="inlineStr">
        <is>
          <t>eng</t>
        </is>
      </c>
      <c r="P240" t="inlineStr">
        <is>
          <t>nyu</t>
        </is>
      </c>
      <c r="Q240" t="inlineStr">
        <is>
          <t>The Century psychology series</t>
        </is>
      </c>
      <c r="R240" t="inlineStr">
        <is>
          <t xml:space="preserve">BF </t>
        </is>
      </c>
      <c r="S240" t="n">
        <v>4</v>
      </c>
      <c r="T240" t="n">
        <v>4</v>
      </c>
      <c r="U240" t="inlineStr">
        <is>
          <t>2009-07-22</t>
        </is>
      </c>
      <c r="V240" t="inlineStr">
        <is>
          <t>2009-07-22</t>
        </is>
      </c>
      <c r="W240" t="inlineStr">
        <is>
          <t>1996-07-24</t>
        </is>
      </c>
      <c r="X240" t="inlineStr">
        <is>
          <t>1996-07-24</t>
        </is>
      </c>
      <c r="Y240" t="n">
        <v>240</v>
      </c>
      <c r="Z240" t="n">
        <v>213</v>
      </c>
      <c r="AA240" t="n">
        <v>540</v>
      </c>
      <c r="AB240" t="n">
        <v>2</v>
      </c>
      <c r="AC240" t="n">
        <v>4</v>
      </c>
      <c r="AD240" t="n">
        <v>12</v>
      </c>
      <c r="AE240" t="n">
        <v>26</v>
      </c>
      <c r="AF240" t="n">
        <v>5</v>
      </c>
      <c r="AG240" t="n">
        <v>10</v>
      </c>
      <c r="AH240" t="n">
        <v>5</v>
      </c>
      <c r="AI240" t="n">
        <v>7</v>
      </c>
      <c r="AJ240" t="n">
        <v>5</v>
      </c>
      <c r="AK240" t="n">
        <v>13</v>
      </c>
      <c r="AL240" t="n">
        <v>1</v>
      </c>
      <c r="AM240" t="n">
        <v>3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HYPERLINK("https://creighton-primo.hosted.exlibrisgroup.com/primo-explore/search?tab=default_tab&amp;search_scope=EVERYTHING&amp;vid=01CRU&amp;lang=en_US&amp;offset=0&amp;query=any,contains,991002789929702656","Catalog Record")</f>
        <v/>
      </c>
      <c r="AT240">
        <f>HYPERLINK("http://www.worldcat.org/oclc/442923","WorldCat Record")</f>
        <v/>
      </c>
      <c r="AU240" t="inlineStr">
        <is>
          <t>1465089:eng</t>
        </is>
      </c>
      <c r="AV240" t="inlineStr">
        <is>
          <t>442923</t>
        </is>
      </c>
      <c r="AW240" t="inlineStr">
        <is>
          <t>991002789929702656</t>
        </is>
      </c>
      <c r="AX240" t="inlineStr">
        <is>
          <t>991002789929702656</t>
        </is>
      </c>
      <c r="AY240" t="inlineStr">
        <is>
          <t>2266323820002656</t>
        </is>
      </c>
      <c r="AZ240" t="inlineStr">
        <is>
          <t>BOOK</t>
        </is>
      </c>
      <c r="BC240" t="inlineStr">
        <is>
          <t>32285002236205</t>
        </is>
      </c>
      <c r="BD240" t="inlineStr">
        <is>
          <t>893792917</t>
        </is>
      </c>
    </row>
    <row r="241">
      <c r="A241" t="inlineStr">
        <is>
          <t>No</t>
        </is>
      </c>
      <c r="B241" t="inlineStr">
        <is>
          <t>BF175 .W27 1985</t>
        </is>
      </c>
      <c r="C241" t="inlineStr">
        <is>
          <t>0                      BF 0175000W  27          1985</t>
        </is>
      </c>
      <c r="D241" t="inlineStr">
        <is>
          <t>Historiography and causation in psychoanalysis : an essay on psychoanalytic and historical epistemology / Edwin R. Wallace, IV.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Wallace, Edwin R.</t>
        </is>
      </c>
      <c r="L241" t="inlineStr">
        <is>
          <t>Hillsdale, N.J. : Analytic Press : Distributed by L. Erlbaum Associates, 1985.</t>
        </is>
      </c>
      <c r="M241" t="inlineStr">
        <is>
          <t>1985</t>
        </is>
      </c>
      <c r="O241" t="inlineStr">
        <is>
          <t>eng</t>
        </is>
      </c>
      <c r="P241" t="inlineStr">
        <is>
          <t>nju</t>
        </is>
      </c>
      <c r="R241" t="inlineStr">
        <is>
          <t xml:space="preserve">BF </t>
        </is>
      </c>
      <c r="S241" t="n">
        <v>1</v>
      </c>
      <c r="T241" t="n">
        <v>1</v>
      </c>
      <c r="U241" t="inlineStr">
        <is>
          <t>2009-03-22</t>
        </is>
      </c>
      <c r="V241" t="inlineStr">
        <is>
          <t>2009-03-22</t>
        </is>
      </c>
      <c r="W241" t="inlineStr">
        <is>
          <t>1990-03-19</t>
        </is>
      </c>
      <c r="X241" t="inlineStr">
        <is>
          <t>1990-03-19</t>
        </is>
      </c>
      <c r="Y241" t="n">
        <v>222</v>
      </c>
      <c r="Z241" t="n">
        <v>175</v>
      </c>
      <c r="AA241" t="n">
        <v>212</v>
      </c>
      <c r="AB241" t="n">
        <v>3</v>
      </c>
      <c r="AC241" t="n">
        <v>3</v>
      </c>
      <c r="AD241" t="n">
        <v>9</v>
      </c>
      <c r="AE241" t="n">
        <v>9</v>
      </c>
      <c r="AF241" t="n">
        <v>2</v>
      </c>
      <c r="AG241" t="n">
        <v>2</v>
      </c>
      <c r="AH241" t="n">
        <v>2</v>
      </c>
      <c r="AI241" t="n">
        <v>2</v>
      </c>
      <c r="AJ241" t="n">
        <v>7</v>
      </c>
      <c r="AK241" t="n">
        <v>7</v>
      </c>
      <c r="AL241" t="n">
        <v>2</v>
      </c>
      <c r="AM241" t="n">
        <v>2</v>
      </c>
      <c r="AN241" t="n">
        <v>0</v>
      </c>
      <c r="AO241" t="n">
        <v>0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HYPERLINK("http://catalog.hathitrust.org/Record/000405117","HathiTrust Record")</f>
        <v/>
      </c>
      <c r="AS241">
        <f>HYPERLINK("https://creighton-primo.hosted.exlibrisgroup.com/primo-explore/search?tab=default_tab&amp;search_scope=EVERYTHING&amp;vid=01CRU&amp;lang=en_US&amp;offset=0&amp;query=any,contains,991000456969702656","Catalog Record")</f>
        <v/>
      </c>
      <c r="AT241">
        <f>HYPERLINK("http://www.worldcat.org/oclc/10914562","WorldCat Record")</f>
        <v/>
      </c>
      <c r="AU241" t="inlineStr">
        <is>
          <t>3227647:eng</t>
        </is>
      </c>
      <c r="AV241" t="inlineStr">
        <is>
          <t>10914562</t>
        </is>
      </c>
      <c r="AW241" t="inlineStr">
        <is>
          <t>991000456969702656</t>
        </is>
      </c>
      <c r="AX241" t="inlineStr">
        <is>
          <t>991000456969702656</t>
        </is>
      </c>
      <c r="AY241" t="inlineStr">
        <is>
          <t>2255723530002656</t>
        </is>
      </c>
      <c r="AZ241" t="inlineStr">
        <is>
          <t>BOOK</t>
        </is>
      </c>
      <c r="BB241" t="inlineStr">
        <is>
          <t>9780881630152</t>
        </is>
      </c>
      <c r="BC241" t="inlineStr">
        <is>
          <t>32285000087782</t>
        </is>
      </c>
      <c r="BD241" t="inlineStr">
        <is>
          <t>893425724</t>
        </is>
      </c>
    </row>
    <row r="242">
      <c r="A242" t="inlineStr">
        <is>
          <t>No</t>
        </is>
      </c>
      <c r="B242" t="inlineStr">
        <is>
          <t>BF175.4.S65 S25 1993</t>
        </is>
      </c>
      <c r="C242" t="inlineStr">
        <is>
          <t>0                      BF 0175400S  65                 S  25          1993</t>
        </is>
      </c>
      <c r="D242" t="inlineStr">
        <is>
          <t>The political psyche / Andrew Samuels.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Samuels, Andrew.</t>
        </is>
      </c>
      <c r="L242" t="inlineStr">
        <is>
          <t>London ; New York : Routledge, 1993.</t>
        </is>
      </c>
      <c r="M242" t="inlineStr">
        <is>
          <t>1993</t>
        </is>
      </c>
      <c r="O242" t="inlineStr">
        <is>
          <t>eng</t>
        </is>
      </c>
      <c r="P242" t="inlineStr">
        <is>
          <t>enk</t>
        </is>
      </c>
      <c r="R242" t="inlineStr">
        <is>
          <t xml:space="preserve">BF </t>
        </is>
      </c>
      <c r="S242" t="n">
        <v>2</v>
      </c>
      <c r="T242" t="n">
        <v>2</v>
      </c>
      <c r="U242" t="inlineStr">
        <is>
          <t>2003-09-04</t>
        </is>
      </c>
      <c r="V242" t="inlineStr">
        <is>
          <t>2003-09-04</t>
        </is>
      </c>
      <c r="W242" t="inlineStr">
        <is>
          <t>1995-01-18</t>
        </is>
      </c>
      <c r="X242" t="inlineStr">
        <is>
          <t>1995-01-18</t>
        </is>
      </c>
      <c r="Y242" t="n">
        <v>269</v>
      </c>
      <c r="Z242" t="n">
        <v>147</v>
      </c>
      <c r="AA242" t="n">
        <v>207</v>
      </c>
      <c r="AB242" t="n">
        <v>1</v>
      </c>
      <c r="AC242" t="n">
        <v>1</v>
      </c>
      <c r="AD242" t="n">
        <v>10</v>
      </c>
      <c r="AE242" t="n">
        <v>10</v>
      </c>
      <c r="AF242" t="n">
        <v>1</v>
      </c>
      <c r="AG242" t="n">
        <v>1</v>
      </c>
      <c r="AH242" t="n">
        <v>3</v>
      </c>
      <c r="AI242" t="n">
        <v>3</v>
      </c>
      <c r="AJ242" t="n">
        <v>7</v>
      </c>
      <c r="AK242" t="n">
        <v>7</v>
      </c>
      <c r="AL242" t="n">
        <v>0</v>
      </c>
      <c r="AM242" t="n">
        <v>0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HYPERLINK("https://creighton-primo.hosted.exlibrisgroup.com/primo-explore/search?tab=default_tab&amp;search_scope=EVERYTHING&amp;vid=01CRU&amp;lang=en_US&amp;offset=0&amp;query=any,contains,991002104399702656","Catalog Record")</f>
        <v/>
      </c>
      <c r="AT242">
        <f>HYPERLINK("http://www.worldcat.org/oclc/27010968","WorldCat Record")</f>
        <v/>
      </c>
      <c r="AU242" t="inlineStr">
        <is>
          <t>337530:eng</t>
        </is>
      </c>
      <c r="AV242" t="inlineStr">
        <is>
          <t>27010968</t>
        </is>
      </c>
      <c r="AW242" t="inlineStr">
        <is>
          <t>991002104399702656</t>
        </is>
      </c>
      <c r="AX242" t="inlineStr">
        <is>
          <t>991002104399702656</t>
        </is>
      </c>
      <c r="AY242" t="inlineStr">
        <is>
          <t>2267134270002656</t>
        </is>
      </c>
      <c r="AZ242" t="inlineStr">
        <is>
          <t>BOOK</t>
        </is>
      </c>
      <c r="BB242" t="inlineStr">
        <is>
          <t>9780415081016</t>
        </is>
      </c>
      <c r="BC242" t="inlineStr">
        <is>
          <t>32285001993467</t>
        </is>
      </c>
      <c r="BD242" t="inlineStr">
        <is>
          <t>893898389</t>
        </is>
      </c>
    </row>
    <row r="243">
      <c r="A243" t="inlineStr">
        <is>
          <t>No</t>
        </is>
      </c>
      <c r="B243" t="inlineStr">
        <is>
          <t>BF175.5.O24 B56 1987</t>
        </is>
      </c>
      <c r="C243" t="inlineStr">
        <is>
          <t>0                      BF 0175500O  24                 B  56          1987</t>
        </is>
      </c>
      <c r="D243" t="inlineStr">
        <is>
          <t>The shadow of the object : psychoanalysis of the unthought known / Christopher Bollas.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Bollas, Christopher.</t>
        </is>
      </c>
      <c r="L243" t="inlineStr">
        <is>
          <t>New York : Columbia University Press, 1987.</t>
        </is>
      </c>
      <c r="M243" t="inlineStr">
        <is>
          <t>1987</t>
        </is>
      </c>
      <c r="O243" t="inlineStr">
        <is>
          <t>eng</t>
        </is>
      </c>
      <c r="P243" t="inlineStr">
        <is>
          <t>nyu</t>
        </is>
      </c>
      <c r="R243" t="inlineStr">
        <is>
          <t xml:space="preserve">BF </t>
        </is>
      </c>
      <c r="S243" t="n">
        <v>3</v>
      </c>
      <c r="T243" t="n">
        <v>3</v>
      </c>
      <c r="U243" t="inlineStr">
        <is>
          <t>1995-01-15</t>
        </is>
      </c>
      <c r="V243" t="inlineStr">
        <is>
          <t>1995-01-15</t>
        </is>
      </c>
      <c r="W243" t="inlineStr">
        <is>
          <t>1992-01-21</t>
        </is>
      </c>
      <c r="X243" t="inlineStr">
        <is>
          <t>1992-01-21</t>
        </is>
      </c>
      <c r="Y243" t="n">
        <v>293</v>
      </c>
      <c r="Z243" t="n">
        <v>246</v>
      </c>
      <c r="AA243" t="n">
        <v>323</v>
      </c>
      <c r="AB243" t="n">
        <v>2</v>
      </c>
      <c r="AC243" t="n">
        <v>3</v>
      </c>
      <c r="AD243" t="n">
        <v>12</v>
      </c>
      <c r="AE243" t="n">
        <v>16</v>
      </c>
      <c r="AF243" t="n">
        <v>5</v>
      </c>
      <c r="AG243" t="n">
        <v>6</v>
      </c>
      <c r="AH243" t="n">
        <v>3</v>
      </c>
      <c r="AI243" t="n">
        <v>4</v>
      </c>
      <c r="AJ243" t="n">
        <v>7</v>
      </c>
      <c r="AK243" t="n">
        <v>9</v>
      </c>
      <c r="AL243" t="n">
        <v>1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HYPERLINK("https://creighton-primo.hosted.exlibrisgroup.com/primo-explore/search?tab=default_tab&amp;search_scope=EVERYTHING&amp;vid=01CRU&amp;lang=en_US&amp;offset=0&amp;query=any,contains,991001043179702656","Catalog Record")</f>
        <v/>
      </c>
      <c r="AT243">
        <f>HYPERLINK("http://www.worldcat.org/oclc/15592449","WorldCat Record")</f>
        <v/>
      </c>
      <c r="AU243" t="inlineStr">
        <is>
          <t>991340:eng</t>
        </is>
      </c>
      <c r="AV243" t="inlineStr">
        <is>
          <t>15592449</t>
        </is>
      </c>
      <c r="AW243" t="inlineStr">
        <is>
          <t>991001043179702656</t>
        </is>
      </c>
      <c r="AX243" t="inlineStr">
        <is>
          <t>991001043179702656</t>
        </is>
      </c>
      <c r="AY243" t="inlineStr">
        <is>
          <t>2262220210002656</t>
        </is>
      </c>
      <c r="AZ243" t="inlineStr">
        <is>
          <t>BOOK</t>
        </is>
      </c>
      <c r="BB243" t="inlineStr">
        <is>
          <t>9780231066266</t>
        </is>
      </c>
      <c r="BC243" t="inlineStr">
        <is>
          <t>32285000865211</t>
        </is>
      </c>
      <c r="BD243" t="inlineStr">
        <is>
          <t>893696412</t>
        </is>
      </c>
    </row>
    <row r="244">
      <c r="A244" t="inlineStr">
        <is>
          <t>No</t>
        </is>
      </c>
      <c r="B244" t="inlineStr">
        <is>
          <t>BF176 .A495 1979</t>
        </is>
      </c>
      <c r="C244" t="inlineStr">
        <is>
          <t>0                      BF 0176000A  495         1979</t>
        </is>
      </c>
      <c r="D244" t="inlineStr">
        <is>
          <t>Introduction to measurement theory / Mary J. Allen, Wendy M. Yen.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Allen, Mary J.</t>
        </is>
      </c>
      <c r="L244" t="inlineStr">
        <is>
          <t>Monterey, Calif. : Brooks/Cole Pub. Co., c1979.</t>
        </is>
      </c>
      <c r="M244" t="inlineStr">
        <is>
          <t>1979</t>
        </is>
      </c>
      <c r="O244" t="inlineStr">
        <is>
          <t>eng</t>
        </is>
      </c>
      <c r="P244" t="inlineStr">
        <is>
          <t>cau</t>
        </is>
      </c>
      <c r="R244" t="inlineStr">
        <is>
          <t xml:space="preserve">BF </t>
        </is>
      </c>
      <c r="S244" t="n">
        <v>1</v>
      </c>
      <c r="T244" t="n">
        <v>1</v>
      </c>
      <c r="U244" t="inlineStr">
        <is>
          <t>2003-06-04</t>
        </is>
      </c>
      <c r="V244" t="inlineStr">
        <is>
          <t>2003-06-04</t>
        </is>
      </c>
      <c r="W244" t="inlineStr">
        <is>
          <t>1997-01-17</t>
        </is>
      </c>
      <c r="X244" t="inlineStr">
        <is>
          <t>1997-01-17</t>
        </is>
      </c>
      <c r="Y244" t="n">
        <v>394</v>
      </c>
      <c r="Z244" t="n">
        <v>265</v>
      </c>
      <c r="AA244" t="n">
        <v>301</v>
      </c>
      <c r="AB244" t="n">
        <v>1</v>
      </c>
      <c r="AC244" t="n">
        <v>1</v>
      </c>
      <c r="AD244" t="n">
        <v>8</v>
      </c>
      <c r="AE244" t="n">
        <v>8</v>
      </c>
      <c r="AF244" t="n">
        <v>0</v>
      </c>
      <c r="AG244" t="n">
        <v>0</v>
      </c>
      <c r="AH244" t="n">
        <v>2</v>
      </c>
      <c r="AI244" t="n">
        <v>2</v>
      </c>
      <c r="AJ244" t="n">
        <v>7</v>
      </c>
      <c r="AK244" t="n">
        <v>7</v>
      </c>
      <c r="AL244" t="n">
        <v>0</v>
      </c>
      <c r="AM244" t="n">
        <v>0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HYPERLINK("https://creighton-primo.hosted.exlibrisgroup.com/primo-explore/search?tab=default_tab&amp;search_scope=EVERYTHING&amp;vid=01CRU&amp;lang=en_US&amp;offset=0&amp;query=any,contains,991004648789702656","Catalog Record")</f>
        <v/>
      </c>
      <c r="AT244">
        <f>HYPERLINK("http://www.worldcat.org/oclc/4493046","WorldCat Record")</f>
        <v/>
      </c>
      <c r="AU244" t="inlineStr">
        <is>
          <t>482704:eng</t>
        </is>
      </c>
      <c r="AV244" t="inlineStr">
        <is>
          <t>4493046</t>
        </is>
      </c>
      <c r="AW244" t="inlineStr">
        <is>
          <t>991004648789702656</t>
        </is>
      </c>
      <c r="AX244" t="inlineStr">
        <is>
          <t>991004648789702656</t>
        </is>
      </c>
      <c r="AY244" t="inlineStr">
        <is>
          <t>2263136060002656</t>
        </is>
      </c>
      <c r="AZ244" t="inlineStr">
        <is>
          <t>BOOK</t>
        </is>
      </c>
      <c r="BB244" t="inlineStr">
        <is>
          <t>9780818502835</t>
        </is>
      </c>
      <c r="BC244" t="inlineStr">
        <is>
          <t>32285002408952</t>
        </is>
      </c>
      <c r="BD244" t="inlineStr">
        <is>
          <t>893694168</t>
        </is>
      </c>
    </row>
    <row r="245">
      <c r="A245" t="inlineStr">
        <is>
          <t>No</t>
        </is>
      </c>
      <c r="B245" t="inlineStr">
        <is>
          <t>BF176 .G76 1984</t>
        </is>
      </c>
      <c r="C245" t="inlineStr">
        <is>
          <t>0                      BF 0176000G  76          1984</t>
        </is>
      </c>
      <c r="D245" t="inlineStr">
        <is>
          <t>Handbook of psychological assessment / Gary Groth-Marnat.</t>
        </is>
      </c>
      <c r="F245" t="inlineStr">
        <is>
          <t>No</t>
        </is>
      </c>
      <c r="G245" t="inlineStr">
        <is>
          <t>1</t>
        </is>
      </c>
      <c r="H245" t="inlineStr">
        <is>
          <t>Yes</t>
        </is>
      </c>
      <c r="I245" t="inlineStr">
        <is>
          <t>No</t>
        </is>
      </c>
      <c r="J245" t="inlineStr">
        <is>
          <t>0</t>
        </is>
      </c>
      <c r="K245" t="inlineStr">
        <is>
          <t>Groth-Marnat, Gary.</t>
        </is>
      </c>
      <c r="L245" t="inlineStr">
        <is>
          <t>New York : Van Nostrand Reinhold, c1984.</t>
        </is>
      </c>
      <c r="M245" t="inlineStr">
        <is>
          <t>1984</t>
        </is>
      </c>
      <c r="O245" t="inlineStr">
        <is>
          <t>eng</t>
        </is>
      </c>
      <c r="P245" t="inlineStr">
        <is>
          <t>nyu</t>
        </is>
      </c>
      <c r="R245" t="inlineStr">
        <is>
          <t xml:space="preserve">BF </t>
        </is>
      </c>
      <c r="S245" t="n">
        <v>8</v>
      </c>
      <c r="T245" t="n">
        <v>8</v>
      </c>
      <c r="U245" t="inlineStr">
        <is>
          <t>1998-11-22</t>
        </is>
      </c>
      <c r="V245" t="inlineStr">
        <is>
          <t>1998-11-22</t>
        </is>
      </c>
      <c r="W245" t="inlineStr">
        <is>
          <t>1990-06-28</t>
        </is>
      </c>
      <c r="X245" t="inlineStr">
        <is>
          <t>1990-06-28</t>
        </is>
      </c>
      <c r="Y245" t="n">
        <v>548</v>
      </c>
      <c r="Z245" t="n">
        <v>470</v>
      </c>
      <c r="AA245" t="n">
        <v>1998</v>
      </c>
      <c r="AB245" t="n">
        <v>6</v>
      </c>
      <c r="AC245" t="n">
        <v>34</v>
      </c>
      <c r="AD245" t="n">
        <v>20</v>
      </c>
      <c r="AE245" t="n">
        <v>67</v>
      </c>
      <c r="AF245" t="n">
        <v>6</v>
      </c>
      <c r="AG245" t="n">
        <v>25</v>
      </c>
      <c r="AH245" t="n">
        <v>5</v>
      </c>
      <c r="AI245" t="n">
        <v>11</v>
      </c>
      <c r="AJ245" t="n">
        <v>10</v>
      </c>
      <c r="AK245" t="n">
        <v>25</v>
      </c>
      <c r="AL245" t="n">
        <v>4</v>
      </c>
      <c r="AM245" t="n">
        <v>18</v>
      </c>
      <c r="AN245" t="n">
        <v>0</v>
      </c>
      <c r="AO245" t="n">
        <v>1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HYPERLINK("http://catalog.hathitrust.org/Record/000168316","HathiTrust Record")</f>
        <v/>
      </c>
      <c r="AS245">
        <f>HYPERLINK("https://creighton-primo.hosted.exlibrisgroup.com/primo-explore/search?tab=default_tab&amp;search_scope=EVERYTHING&amp;vid=01CRU&amp;lang=en_US&amp;offset=0&amp;query=any,contains,991000307619702656","Catalog Record")</f>
        <v/>
      </c>
      <c r="AT245">
        <f>HYPERLINK("http://www.worldcat.org/oclc/10072396","WorldCat Record")</f>
        <v/>
      </c>
      <c r="AU245" t="inlineStr">
        <is>
          <t>3170159:eng</t>
        </is>
      </c>
      <c r="AV245" t="inlineStr">
        <is>
          <t>10072396</t>
        </is>
      </c>
      <c r="AW245" t="inlineStr">
        <is>
          <t>991000307619702656</t>
        </is>
      </c>
      <c r="AX245" t="inlineStr">
        <is>
          <t>991000307619702656</t>
        </is>
      </c>
      <c r="AY245" t="inlineStr">
        <is>
          <t>2264784070002656</t>
        </is>
      </c>
      <c r="AZ245" t="inlineStr">
        <is>
          <t>BOOK</t>
        </is>
      </c>
      <c r="BB245" t="inlineStr">
        <is>
          <t>9780442229276</t>
        </is>
      </c>
      <c r="BC245" t="inlineStr">
        <is>
          <t>32285000216951</t>
        </is>
      </c>
      <c r="BD245" t="inlineStr">
        <is>
          <t>893255326</t>
        </is>
      </c>
    </row>
    <row r="246">
      <c r="A246" t="inlineStr">
        <is>
          <t>No</t>
        </is>
      </c>
      <c r="B246" t="inlineStr">
        <is>
          <t>BF176 .H35 1985</t>
        </is>
      </c>
      <c r="C246" t="inlineStr">
        <is>
          <t>0                      BF 0176000H  35          1985</t>
        </is>
      </c>
      <c r="D246" t="inlineStr">
        <is>
          <t>Item response theory : principles and applications / Ronald K. Hambleton, Hariharan Swaminathan.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Hambleton, Ronald K.</t>
        </is>
      </c>
      <c r="L246" t="inlineStr">
        <is>
          <t>Boston : Kluwer-Nijhoff Pub. ; Hingham, MA, U.S.A. : Distributors for North America, Kluwer Boston, c1985.</t>
        </is>
      </c>
      <c r="M246" t="inlineStr">
        <is>
          <t>1985</t>
        </is>
      </c>
      <c r="O246" t="inlineStr">
        <is>
          <t>eng</t>
        </is>
      </c>
      <c r="P246" t="inlineStr">
        <is>
          <t>mau</t>
        </is>
      </c>
      <c r="Q246" t="inlineStr">
        <is>
          <t>Evaluation in education and human services</t>
        </is>
      </c>
      <c r="R246" t="inlineStr">
        <is>
          <t xml:space="preserve">BF </t>
        </is>
      </c>
      <c r="S246" t="n">
        <v>6</v>
      </c>
      <c r="T246" t="n">
        <v>6</v>
      </c>
      <c r="U246" t="inlineStr">
        <is>
          <t>2006-04-25</t>
        </is>
      </c>
      <c r="V246" t="inlineStr">
        <is>
          <t>2006-04-25</t>
        </is>
      </c>
      <c r="W246" t="inlineStr">
        <is>
          <t>1995-08-04</t>
        </is>
      </c>
      <c r="X246" t="inlineStr">
        <is>
          <t>1995-08-04</t>
        </is>
      </c>
      <c r="Y246" t="n">
        <v>346</v>
      </c>
      <c r="Z246" t="n">
        <v>247</v>
      </c>
      <c r="AA246" t="n">
        <v>256</v>
      </c>
      <c r="AB246" t="n">
        <v>3</v>
      </c>
      <c r="AC246" t="n">
        <v>3</v>
      </c>
      <c r="AD246" t="n">
        <v>11</v>
      </c>
      <c r="AE246" t="n">
        <v>12</v>
      </c>
      <c r="AF246" t="n">
        <v>2</v>
      </c>
      <c r="AG246" t="n">
        <v>3</v>
      </c>
      <c r="AH246" t="n">
        <v>4</v>
      </c>
      <c r="AI246" t="n">
        <v>4</v>
      </c>
      <c r="AJ246" t="n">
        <v>6</v>
      </c>
      <c r="AK246" t="n">
        <v>7</v>
      </c>
      <c r="AL246" t="n">
        <v>2</v>
      </c>
      <c r="AM246" t="n">
        <v>2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HYPERLINK("https://creighton-primo.hosted.exlibrisgroup.com/primo-explore/search?tab=default_tab&amp;search_scope=EVERYTHING&amp;vid=01CRU&amp;lang=en_US&amp;offset=0&amp;query=any,contains,991000226669702656","Catalog Record")</f>
        <v/>
      </c>
      <c r="AT246">
        <f>HYPERLINK("http://www.worldcat.org/oclc/9620421","WorldCat Record")</f>
        <v/>
      </c>
      <c r="AU246" t="inlineStr">
        <is>
          <t>101476:eng</t>
        </is>
      </c>
      <c r="AV246" t="inlineStr">
        <is>
          <t>9620421</t>
        </is>
      </c>
      <c r="AW246" t="inlineStr">
        <is>
          <t>991000226669702656</t>
        </is>
      </c>
      <c r="AX246" t="inlineStr">
        <is>
          <t>991000226669702656</t>
        </is>
      </c>
      <c r="AY246" t="inlineStr">
        <is>
          <t>2270548510002656</t>
        </is>
      </c>
      <c r="AZ246" t="inlineStr">
        <is>
          <t>BOOK</t>
        </is>
      </c>
      <c r="BB246" t="inlineStr">
        <is>
          <t>9780898380651</t>
        </is>
      </c>
      <c r="BC246" t="inlineStr">
        <is>
          <t>32285002059359</t>
        </is>
      </c>
      <c r="BD246" t="inlineStr">
        <is>
          <t>893224851</t>
        </is>
      </c>
    </row>
    <row r="247">
      <c r="A247" t="inlineStr">
        <is>
          <t>No</t>
        </is>
      </c>
      <c r="B247" t="inlineStr">
        <is>
          <t>BF176 .W43 1984</t>
        </is>
      </c>
      <c r="C247" t="inlineStr">
        <is>
          <t>0                      BF 0176000W  43          1984</t>
        </is>
      </c>
      <c r="D247" t="inlineStr">
        <is>
          <t>Assessing individuals : psychological and educational tests and measurements / Elliot A. Weiner, Barbara J. Stewart.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Weiner, Elliot A.</t>
        </is>
      </c>
      <c r="L247" t="inlineStr">
        <is>
          <t>Boston : Little, Brown, c1984.</t>
        </is>
      </c>
      <c r="M247" t="inlineStr">
        <is>
          <t>1984</t>
        </is>
      </c>
      <c r="O247" t="inlineStr">
        <is>
          <t>eng</t>
        </is>
      </c>
      <c r="P247" t="inlineStr">
        <is>
          <t>mau</t>
        </is>
      </c>
      <c r="R247" t="inlineStr">
        <is>
          <t xml:space="preserve">BF </t>
        </is>
      </c>
      <c r="S247" t="n">
        <v>5</v>
      </c>
      <c r="T247" t="n">
        <v>5</v>
      </c>
      <c r="U247" t="inlineStr">
        <is>
          <t>1994-11-06</t>
        </is>
      </c>
      <c r="V247" t="inlineStr">
        <is>
          <t>1994-11-06</t>
        </is>
      </c>
      <c r="W247" t="inlineStr">
        <is>
          <t>1990-02-21</t>
        </is>
      </c>
      <c r="X247" t="inlineStr">
        <is>
          <t>1990-02-21</t>
        </is>
      </c>
      <c r="Y247" t="n">
        <v>221</v>
      </c>
      <c r="Z247" t="n">
        <v>168</v>
      </c>
      <c r="AA247" t="n">
        <v>168</v>
      </c>
      <c r="AB247" t="n">
        <v>1</v>
      </c>
      <c r="AC247" t="n">
        <v>1</v>
      </c>
      <c r="AD247" t="n">
        <v>7</v>
      </c>
      <c r="AE247" t="n">
        <v>7</v>
      </c>
      <c r="AF247" t="n">
        <v>1</v>
      </c>
      <c r="AG247" t="n">
        <v>1</v>
      </c>
      <c r="AH247" t="n">
        <v>1</v>
      </c>
      <c r="AI247" t="n">
        <v>1</v>
      </c>
      <c r="AJ247" t="n">
        <v>6</v>
      </c>
      <c r="AK247" t="n">
        <v>6</v>
      </c>
      <c r="AL247" t="n">
        <v>0</v>
      </c>
      <c r="AM247" t="n">
        <v>0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HYPERLINK("https://creighton-primo.hosted.exlibrisgroup.com/primo-explore/search?tab=default_tab&amp;search_scope=EVERYTHING&amp;vid=01CRU&amp;lang=en_US&amp;offset=0&amp;query=any,contains,991000316189702656","Catalog Record")</f>
        <v/>
      </c>
      <c r="AT247">
        <f>HYPERLINK("http://www.worldcat.org/oclc/10122023","WorldCat Record")</f>
        <v/>
      </c>
      <c r="AU247" t="inlineStr">
        <is>
          <t>889575491:eng</t>
        </is>
      </c>
      <c r="AV247" t="inlineStr">
        <is>
          <t>10122023</t>
        </is>
      </c>
      <c r="AW247" t="inlineStr">
        <is>
          <t>991000316189702656</t>
        </is>
      </c>
      <c r="AX247" t="inlineStr">
        <is>
          <t>991000316189702656</t>
        </is>
      </c>
      <c r="AY247" t="inlineStr">
        <is>
          <t>2267369840002656</t>
        </is>
      </c>
      <c r="AZ247" t="inlineStr">
        <is>
          <t>BOOK</t>
        </is>
      </c>
      <c r="BB247" t="inlineStr">
        <is>
          <t>9780316928618</t>
        </is>
      </c>
      <c r="BC247" t="inlineStr">
        <is>
          <t>32285000058031</t>
        </is>
      </c>
      <c r="BD247" t="inlineStr">
        <is>
          <t>893589342</t>
        </is>
      </c>
    </row>
    <row r="248">
      <c r="A248" t="inlineStr">
        <is>
          <t>No</t>
        </is>
      </c>
      <c r="B248" t="inlineStr">
        <is>
          <t>BF1769 .C64</t>
        </is>
      </c>
      <c r="C248" t="inlineStr">
        <is>
          <t>0                      BF 1769000C  64</t>
        </is>
      </c>
      <c r="D248" t="inlineStr">
        <is>
          <t>The Sibylline oracles of Egyptian Judaism / John J. Collins.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Collins, John J. (John Joseph), 1946-</t>
        </is>
      </c>
      <c r="L248" t="inlineStr">
        <is>
          <t>Missoula, Mont. : Published by Society of Biblical Literature for the Pseudepigrapha Group, 1974, c1972.</t>
        </is>
      </c>
      <c r="M248" t="inlineStr">
        <is>
          <t>1974</t>
        </is>
      </c>
      <c r="O248" t="inlineStr">
        <is>
          <t>eng</t>
        </is>
      </c>
      <c r="P248" t="inlineStr">
        <is>
          <t>mtu</t>
        </is>
      </c>
      <c r="Q248" t="inlineStr">
        <is>
          <t>Dissertation series ; no. 13</t>
        </is>
      </c>
      <c r="R248" t="inlineStr">
        <is>
          <t xml:space="preserve">BF </t>
        </is>
      </c>
      <c r="S248" t="n">
        <v>4</v>
      </c>
      <c r="T248" t="n">
        <v>4</v>
      </c>
      <c r="U248" t="inlineStr">
        <is>
          <t>2002-04-07</t>
        </is>
      </c>
      <c r="V248" t="inlineStr">
        <is>
          <t>2002-04-07</t>
        </is>
      </c>
      <c r="W248" t="inlineStr">
        <is>
          <t>1990-10-01</t>
        </is>
      </c>
      <c r="X248" t="inlineStr">
        <is>
          <t>1990-10-01</t>
        </is>
      </c>
      <c r="Y248" t="n">
        <v>240</v>
      </c>
      <c r="Z248" t="n">
        <v>185</v>
      </c>
      <c r="AA248" t="n">
        <v>189</v>
      </c>
      <c r="AB248" t="n">
        <v>2</v>
      </c>
      <c r="AC248" t="n">
        <v>2</v>
      </c>
      <c r="AD248" t="n">
        <v>12</v>
      </c>
      <c r="AE248" t="n">
        <v>12</v>
      </c>
      <c r="AF248" t="n">
        <v>3</v>
      </c>
      <c r="AG248" t="n">
        <v>3</v>
      </c>
      <c r="AH248" t="n">
        <v>3</v>
      </c>
      <c r="AI248" t="n">
        <v>3</v>
      </c>
      <c r="AJ248" t="n">
        <v>7</v>
      </c>
      <c r="AK248" t="n">
        <v>7</v>
      </c>
      <c r="AL248" t="n">
        <v>1</v>
      </c>
      <c r="AM248" t="n">
        <v>1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HYPERLINK("https://creighton-primo.hosted.exlibrisgroup.com/primo-explore/search?tab=default_tab&amp;search_scope=EVERYTHING&amp;vid=01CRU&amp;lang=en_US&amp;offset=0&amp;query=any,contains,991003650449702656","Catalog Record")</f>
        <v/>
      </c>
      <c r="AT248">
        <f>HYPERLINK("http://www.worldcat.org/oclc/1254038","WorldCat Record")</f>
        <v/>
      </c>
      <c r="AU248" t="inlineStr">
        <is>
          <t>2169967:eng</t>
        </is>
      </c>
      <c r="AV248" t="inlineStr">
        <is>
          <t>1254038</t>
        </is>
      </c>
      <c r="AW248" t="inlineStr">
        <is>
          <t>991003650449702656</t>
        </is>
      </c>
      <c r="AX248" t="inlineStr">
        <is>
          <t>991003650449702656</t>
        </is>
      </c>
      <c r="AY248" t="inlineStr">
        <is>
          <t>2261506940002656</t>
        </is>
      </c>
      <c r="AZ248" t="inlineStr">
        <is>
          <t>BOOK</t>
        </is>
      </c>
      <c r="BB248" t="inlineStr">
        <is>
          <t>9780884140399</t>
        </is>
      </c>
      <c r="BC248" t="inlineStr">
        <is>
          <t>32285000324383</t>
        </is>
      </c>
      <c r="BD248" t="inlineStr">
        <is>
          <t>893893957</t>
        </is>
      </c>
    </row>
    <row r="249">
      <c r="A249" t="inlineStr">
        <is>
          <t>No</t>
        </is>
      </c>
      <c r="B249" t="inlineStr">
        <is>
          <t>BF1793 .L473</t>
        </is>
      </c>
      <c r="C249" t="inlineStr">
        <is>
          <t>0                      BF 1793000L  473</t>
        </is>
      </c>
      <c r="D249" t="inlineStr">
        <is>
          <t>Science, prophecy, and prediction : man's efforts to foretell the future, from Babylon to Wall Street / translated by Arnold J. Pomerans.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Lewinsohn, Richard, 1894-1968.</t>
        </is>
      </c>
      <c r="L249" t="inlineStr">
        <is>
          <t>New York : Harper, [1961]</t>
        </is>
      </c>
      <c r="M249" t="inlineStr">
        <is>
          <t>1961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BF </t>
        </is>
      </c>
      <c r="S249" t="n">
        <v>5</v>
      </c>
      <c r="T249" t="n">
        <v>5</v>
      </c>
      <c r="U249" t="inlineStr">
        <is>
          <t>2006-03-25</t>
        </is>
      </c>
      <c r="V249" t="inlineStr">
        <is>
          <t>2006-03-25</t>
        </is>
      </c>
      <c r="W249" t="inlineStr">
        <is>
          <t>1990-10-01</t>
        </is>
      </c>
      <c r="X249" t="inlineStr">
        <is>
          <t>1990-10-01</t>
        </is>
      </c>
      <c r="Y249" t="n">
        <v>377</v>
      </c>
      <c r="Z249" t="n">
        <v>351</v>
      </c>
      <c r="AA249" t="n">
        <v>379</v>
      </c>
      <c r="AB249" t="n">
        <v>2</v>
      </c>
      <c r="AC249" t="n">
        <v>2</v>
      </c>
      <c r="AD249" t="n">
        <v>9</v>
      </c>
      <c r="AE249" t="n">
        <v>9</v>
      </c>
      <c r="AF249" t="n">
        <v>3</v>
      </c>
      <c r="AG249" t="n">
        <v>3</v>
      </c>
      <c r="AH249" t="n">
        <v>2</v>
      </c>
      <c r="AI249" t="n">
        <v>2</v>
      </c>
      <c r="AJ249" t="n">
        <v>4</v>
      </c>
      <c r="AK249" t="n">
        <v>4</v>
      </c>
      <c r="AL249" t="n">
        <v>1</v>
      </c>
      <c r="AM249" t="n">
        <v>1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HYPERLINK("http://catalog.hathitrust.org/Record/000474225","HathiTrust Record")</f>
        <v/>
      </c>
      <c r="AS249">
        <f>HYPERLINK("https://creighton-primo.hosted.exlibrisgroup.com/primo-explore/search?tab=default_tab&amp;search_scope=EVERYTHING&amp;vid=01CRU&amp;lang=en_US&amp;offset=0&amp;query=any,contains,991003541789702656","Catalog Record")</f>
        <v/>
      </c>
      <c r="AT249">
        <f>HYPERLINK("http://www.worldcat.org/oclc/1106311","WorldCat Record")</f>
        <v/>
      </c>
      <c r="AU249" t="inlineStr">
        <is>
          <t>4160079505:eng</t>
        </is>
      </c>
      <c r="AV249" t="inlineStr">
        <is>
          <t>1106311</t>
        </is>
      </c>
      <c r="AW249" t="inlineStr">
        <is>
          <t>991003541789702656</t>
        </is>
      </c>
      <c r="AX249" t="inlineStr">
        <is>
          <t>991003541789702656</t>
        </is>
      </c>
      <c r="AY249" t="inlineStr">
        <is>
          <t>2257242550002656</t>
        </is>
      </c>
      <c r="AZ249" t="inlineStr">
        <is>
          <t>BOOK</t>
        </is>
      </c>
      <c r="BC249" t="inlineStr">
        <is>
          <t>32285000324391</t>
        </is>
      </c>
      <c r="BD249" t="inlineStr">
        <is>
          <t>893611154</t>
        </is>
      </c>
    </row>
    <row r="250">
      <c r="A250" t="inlineStr">
        <is>
          <t>No</t>
        </is>
      </c>
      <c r="B250" t="inlineStr">
        <is>
          <t>BF181 .C38</t>
        </is>
      </c>
      <c r="C250" t="inlineStr">
        <is>
          <t>0                      BF 0181000C  38</t>
        </is>
      </c>
      <c r="D250" t="inlineStr">
        <is>
          <t>Handbook of multivariate experimental psychology, edited by Raymond B. Cattell.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Cattell, Raymond B. (Raymond Bernard), 1905-1998.</t>
        </is>
      </c>
      <c r="L250" t="inlineStr">
        <is>
          <t>Chicago, Rand McNally [1966]</t>
        </is>
      </c>
      <c r="M250" t="inlineStr">
        <is>
          <t>1966</t>
        </is>
      </c>
      <c r="O250" t="inlineStr">
        <is>
          <t>eng</t>
        </is>
      </c>
      <c r="P250" t="inlineStr">
        <is>
          <t>ilu</t>
        </is>
      </c>
      <c r="Q250" t="inlineStr">
        <is>
          <t>Rand McNally psychology series</t>
        </is>
      </c>
      <c r="R250" t="inlineStr">
        <is>
          <t xml:space="preserve">BF </t>
        </is>
      </c>
      <c r="S250" t="n">
        <v>6</v>
      </c>
      <c r="T250" t="n">
        <v>6</v>
      </c>
      <c r="U250" t="inlineStr">
        <is>
          <t>1999-04-11</t>
        </is>
      </c>
      <c r="V250" t="inlineStr">
        <is>
          <t>1999-04-11</t>
        </is>
      </c>
      <c r="W250" t="inlineStr">
        <is>
          <t>1996-07-24</t>
        </is>
      </c>
      <c r="X250" t="inlineStr">
        <is>
          <t>1996-07-24</t>
        </is>
      </c>
      <c r="Y250" t="n">
        <v>626</v>
      </c>
      <c r="Z250" t="n">
        <v>496</v>
      </c>
      <c r="AA250" t="n">
        <v>497</v>
      </c>
      <c r="AB250" t="n">
        <v>2</v>
      </c>
      <c r="AC250" t="n">
        <v>2</v>
      </c>
      <c r="AD250" t="n">
        <v>23</v>
      </c>
      <c r="AE250" t="n">
        <v>23</v>
      </c>
      <c r="AF250" t="n">
        <v>8</v>
      </c>
      <c r="AG250" t="n">
        <v>8</v>
      </c>
      <c r="AH250" t="n">
        <v>5</v>
      </c>
      <c r="AI250" t="n">
        <v>5</v>
      </c>
      <c r="AJ250" t="n">
        <v>13</v>
      </c>
      <c r="AK250" t="n">
        <v>13</v>
      </c>
      <c r="AL250" t="n">
        <v>1</v>
      </c>
      <c r="AM250" t="n">
        <v>1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HYPERLINK("http://catalog.hathitrust.org/Record/000658452","HathiTrust Record")</f>
        <v/>
      </c>
      <c r="AS250">
        <f>HYPERLINK("https://creighton-primo.hosted.exlibrisgroup.com/primo-explore/search?tab=default_tab&amp;search_scope=EVERYTHING&amp;vid=01CRU&amp;lang=en_US&amp;offset=0&amp;query=any,contains,991001376389702656","Catalog Record")</f>
        <v/>
      </c>
      <c r="AT250">
        <f>HYPERLINK("http://www.worldcat.org/oclc/224947","WorldCat Record")</f>
        <v/>
      </c>
      <c r="AU250" t="inlineStr">
        <is>
          <t>5610043142:eng</t>
        </is>
      </c>
      <c r="AV250" t="inlineStr">
        <is>
          <t>224947</t>
        </is>
      </c>
      <c r="AW250" t="inlineStr">
        <is>
          <t>991001376389702656</t>
        </is>
      </c>
      <c r="AX250" t="inlineStr">
        <is>
          <t>991001376389702656</t>
        </is>
      </c>
      <c r="AY250" t="inlineStr">
        <is>
          <t>2263618080002656</t>
        </is>
      </c>
      <c r="AZ250" t="inlineStr">
        <is>
          <t>BOOK</t>
        </is>
      </c>
      <c r="BC250" t="inlineStr">
        <is>
          <t>32285002236270</t>
        </is>
      </c>
      <c r="BD250" t="inlineStr">
        <is>
          <t>893426558</t>
        </is>
      </c>
    </row>
    <row r="251">
      <c r="A251" t="inlineStr">
        <is>
          <t>No</t>
        </is>
      </c>
      <c r="B251" t="inlineStr">
        <is>
          <t>BF181 .F5</t>
        </is>
      </c>
      <c r="C251" t="inlineStr">
        <is>
          <t>0                      BF 0181000F  5</t>
        </is>
      </c>
      <c r="D251" t="inlineStr">
        <is>
          <t>The First century of experimental psychology / edited by Eliot Hearst.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L251" t="inlineStr">
        <is>
          <t>Hillsdale, N.J. : L. Erlbaum Associates ; New York : distributed by Halsted Press Division, Wiley, 1979.</t>
        </is>
      </c>
      <c r="M251" t="inlineStr">
        <is>
          <t>1979</t>
        </is>
      </c>
      <c r="O251" t="inlineStr">
        <is>
          <t>eng</t>
        </is>
      </c>
      <c r="P251" t="inlineStr">
        <is>
          <t>nju</t>
        </is>
      </c>
      <c r="R251" t="inlineStr">
        <is>
          <t xml:space="preserve">BF </t>
        </is>
      </c>
      <c r="S251" t="n">
        <v>2</v>
      </c>
      <c r="T251" t="n">
        <v>2</v>
      </c>
      <c r="U251" t="inlineStr">
        <is>
          <t>1995-10-10</t>
        </is>
      </c>
      <c r="V251" t="inlineStr">
        <is>
          <t>1995-10-10</t>
        </is>
      </c>
      <c r="W251" t="inlineStr">
        <is>
          <t>1990-08-16</t>
        </is>
      </c>
      <c r="X251" t="inlineStr">
        <is>
          <t>1990-08-16</t>
        </is>
      </c>
      <c r="Y251" t="n">
        <v>890</v>
      </c>
      <c r="Z251" t="n">
        <v>770</v>
      </c>
      <c r="AA251" t="n">
        <v>789</v>
      </c>
      <c r="AB251" t="n">
        <v>4</v>
      </c>
      <c r="AC251" t="n">
        <v>4</v>
      </c>
      <c r="AD251" t="n">
        <v>35</v>
      </c>
      <c r="AE251" t="n">
        <v>35</v>
      </c>
      <c r="AF251" t="n">
        <v>15</v>
      </c>
      <c r="AG251" t="n">
        <v>15</v>
      </c>
      <c r="AH251" t="n">
        <v>7</v>
      </c>
      <c r="AI251" t="n">
        <v>7</v>
      </c>
      <c r="AJ251" t="n">
        <v>20</v>
      </c>
      <c r="AK251" t="n">
        <v>20</v>
      </c>
      <c r="AL251" t="n">
        <v>3</v>
      </c>
      <c r="AM251" t="n">
        <v>3</v>
      </c>
      <c r="AN251" t="n">
        <v>0</v>
      </c>
      <c r="AO251" t="n">
        <v>0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HYPERLINK("http://catalog.hathitrust.org/Record/000027559","HathiTrust Record")</f>
        <v/>
      </c>
      <c r="AS251">
        <f>HYPERLINK("https://creighton-primo.hosted.exlibrisgroup.com/primo-explore/search?tab=default_tab&amp;search_scope=EVERYTHING&amp;vid=01CRU&amp;lang=en_US&amp;offset=0&amp;query=any,contains,991004790709702656","Catalog Record")</f>
        <v/>
      </c>
      <c r="AT251">
        <f>HYPERLINK("http://www.worldcat.org/oclc/5171027","WorldCat Record")</f>
        <v/>
      </c>
      <c r="AU251" t="inlineStr">
        <is>
          <t>54303878:eng</t>
        </is>
      </c>
      <c r="AV251" t="inlineStr">
        <is>
          <t>5171027</t>
        </is>
      </c>
      <c r="AW251" t="inlineStr">
        <is>
          <t>991004790709702656</t>
        </is>
      </c>
      <c r="AX251" t="inlineStr">
        <is>
          <t>991004790709702656</t>
        </is>
      </c>
      <c r="AY251" t="inlineStr">
        <is>
          <t>2258884940002656</t>
        </is>
      </c>
      <c r="AZ251" t="inlineStr">
        <is>
          <t>BOOK</t>
        </is>
      </c>
      <c r="BB251" t="inlineStr">
        <is>
          <t>9780470268155</t>
        </is>
      </c>
      <c r="BC251" t="inlineStr">
        <is>
          <t>32285000283258</t>
        </is>
      </c>
      <c r="BD251" t="inlineStr">
        <is>
          <t>893532813</t>
        </is>
      </c>
    </row>
    <row r="252">
      <c r="A252" t="inlineStr">
        <is>
          <t>No</t>
        </is>
      </c>
      <c r="B252" t="inlineStr">
        <is>
          <t>BF181 .G3 1930</t>
        </is>
      </c>
      <c r="C252" t="inlineStr">
        <is>
          <t>0                      BF 0181000G  3           1930</t>
        </is>
      </c>
      <c r="D252" t="inlineStr">
        <is>
          <t>Great experiments in psychology.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Yes</t>
        </is>
      </c>
      <c r="J252" t="inlineStr">
        <is>
          <t>0</t>
        </is>
      </c>
      <c r="K252" t="inlineStr">
        <is>
          <t>Garrett, Henry E. (Henry Edward), 1894-1973.</t>
        </is>
      </c>
      <c r="L252" t="inlineStr">
        <is>
          <t>New York, London, Appleton-Century Company, incorporated [c1941]</t>
        </is>
      </c>
      <c r="M252" t="inlineStr">
        <is>
          <t>1941</t>
        </is>
      </c>
      <c r="N252" t="inlineStr">
        <is>
          <t>Rev. and enl. ed. By Henry E. Garrett ...</t>
        </is>
      </c>
      <c r="O252" t="inlineStr">
        <is>
          <t>eng</t>
        </is>
      </c>
      <c r="P252" t="inlineStr">
        <is>
          <t>nyu</t>
        </is>
      </c>
      <c r="Q252" t="inlineStr">
        <is>
          <t>The Century psychology series</t>
        </is>
      </c>
      <c r="R252" t="inlineStr">
        <is>
          <t xml:space="preserve">BF </t>
        </is>
      </c>
      <c r="S252" t="n">
        <v>3</v>
      </c>
      <c r="T252" t="n">
        <v>3</v>
      </c>
      <c r="U252" t="inlineStr">
        <is>
          <t>1996-10-21</t>
        </is>
      </c>
      <c r="V252" t="inlineStr">
        <is>
          <t>1996-10-21</t>
        </is>
      </c>
      <c r="W252" t="inlineStr">
        <is>
          <t>1996-07-24</t>
        </is>
      </c>
      <c r="X252" t="inlineStr">
        <is>
          <t>1996-07-24</t>
        </is>
      </c>
      <c r="Y252" t="n">
        <v>414</v>
      </c>
      <c r="Z252" t="n">
        <v>356</v>
      </c>
      <c r="AA252" t="n">
        <v>1087</v>
      </c>
      <c r="AB252" t="n">
        <v>4</v>
      </c>
      <c r="AC252" t="n">
        <v>9</v>
      </c>
      <c r="AD252" t="n">
        <v>12</v>
      </c>
      <c r="AE252" t="n">
        <v>35</v>
      </c>
      <c r="AF252" t="n">
        <v>3</v>
      </c>
      <c r="AG252" t="n">
        <v>17</v>
      </c>
      <c r="AH252" t="n">
        <v>2</v>
      </c>
      <c r="AI252" t="n">
        <v>6</v>
      </c>
      <c r="AJ252" t="n">
        <v>8</v>
      </c>
      <c r="AK252" t="n">
        <v>18</v>
      </c>
      <c r="AL252" t="n">
        <v>2</v>
      </c>
      <c r="AM252" t="n">
        <v>4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HYPERLINK("http://catalog.hathitrust.org/Record/000658894","HathiTrust Record")</f>
        <v/>
      </c>
      <c r="AS252">
        <f>HYPERLINK("https://creighton-primo.hosted.exlibrisgroup.com/primo-explore/search?tab=default_tab&amp;search_scope=EVERYTHING&amp;vid=01CRU&amp;lang=en_US&amp;offset=0&amp;query=any,contains,991003727409702656","Catalog Record")</f>
        <v/>
      </c>
      <c r="AT252">
        <f>HYPERLINK("http://www.worldcat.org/oclc/1375864","WorldCat Record")</f>
        <v/>
      </c>
      <c r="AU252" t="inlineStr">
        <is>
          <t>602127385:eng</t>
        </is>
      </c>
      <c r="AV252" t="inlineStr">
        <is>
          <t>1375864</t>
        </is>
      </c>
      <c r="AW252" t="inlineStr">
        <is>
          <t>991003727409702656</t>
        </is>
      </c>
      <c r="AX252" t="inlineStr">
        <is>
          <t>991003727409702656</t>
        </is>
      </c>
      <c r="AY252" t="inlineStr">
        <is>
          <t>2259773700002656</t>
        </is>
      </c>
      <c r="AZ252" t="inlineStr">
        <is>
          <t>BOOK</t>
        </is>
      </c>
      <c r="BC252" t="inlineStr">
        <is>
          <t>32285002236304</t>
        </is>
      </c>
      <c r="BD252" t="inlineStr">
        <is>
          <t>893318336</t>
        </is>
      </c>
    </row>
    <row r="253">
      <c r="A253" t="inlineStr">
        <is>
          <t>No</t>
        </is>
      </c>
      <c r="B253" t="inlineStr">
        <is>
          <t>BF181 .G3 1951</t>
        </is>
      </c>
      <c r="C253" t="inlineStr">
        <is>
          <t>0                      BF 0181000G  3           1951</t>
        </is>
      </c>
      <c r="D253" t="inlineStr">
        <is>
          <t>Great experiments in psychology.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Yes</t>
        </is>
      </c>
      <c r="J253" t="inlineStr">
        <is>
          <t>0</t>
        </is>
      </c>
      <c r="K253" t="inlineStr">
        <is>
          <t>Garrett, Henry E. (Henry Edward), 1894-1973.</t>
        </is>
      </c>
      <c r="L253" t="inlineStr">
        <is>
          <t>New York, Appleton-Century-Crofts [1951]</t>
        </is>
      </c>
      <c r="M253" t="inlineStr">
        <is>
          <t>1951</t>
        </is>
      </c>
      <c r="N253" t="inlineStr">
        <is>
          <t>3d ed.</t>
        </is>
      </c>
      <c r="O253" t="inlineStr">
        <is>
          <t>eng</t>
        </is>
      </c>
      <c r="P253" t="inlineStr">
        <is>
          <t>nyu</t>
        </is>
      </c>
      <c r="Q253" t="inlineStr">
        <is>
          <t>The Century psychology series</t>
        </is>
      </c>
      <c r="R253" t="inlineStr">
        <is>
          <t xml:space="preserve">BF </t>
        </is>
      </c>
      <c r="S253" t="n">
        <v>1</v>
      </c>
      <c r="T253" t="n">
        <v>1</v>
      </c>
      <c r="U253" t="inlineStr">
        <is>
          <t>2002-03-06</t>
        </is>
      </c>
      <c r="V253" t="inlineStr">
        <is>
          <t>2002-03-06</t>
        </is>
      </c>
      <c r="W253" t="inlineStr">
        <is>
          <t>1996-07-24</t>
        </is>
      </c>
      <c r="X253" t="inlineStr">
        <is>
          <t>1996-07-24</t>
        </is>
      </c>
      <c r="Y253" t="n">
        <v>767</v>
      </c>
      <c r="Z253" t="n">
        <v>682</v>
      </c>
      <c r="AA253" t="n">
        <v>1087</v>
      </c>
      <c r="AB253" t="n">
        <v>5</v>
      </c>
      <c r="AC253" t="n">
        <v>9</v>
      </c>
      <c r="AD253" t="n">
        <v>22</v>
      </c>
      <c r="AE253" t="n">
        <v>35</v>
      </c>
      <c r="AF253" t="n">
        <v>11</v>
      </c>
      <c r="AG253" t="n">
        <v>17</v>
      </c>
      <c r="AH253" t="n">
        <v>5</v>
      </c>
      <c r="AI253" t="n">
        <v>6</v>
      </c>
      <c r="AJ253" t="n">
        <v>11</v>
      </c>
      <c r="AK253" t="n">
        <v>18</v>
      </c>
      <c r="AL253" t="n">
        <v>2</v>
      </c>
      <c r="AM253" t="n">
        <v>4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HYPERLINK("http://catalog.hathitrust.org/Record/000658904","HathiTrust Record")</f>
        <v/>
      </c>
      <c r="AS253">
        <f>HYPERLINK("https://creighton-primo.hosted.exlibrisgroup.com/primo-explore/search?tab=default_tab&amp;search_scope=EVERYTHING&amp;vid=01CRU&amp;lang=en_US&amp;offset=0&amp;query=any,contains,991003216119702656","Catalog Record")</f>
        <v/>
      </c>
      <c r="AT253">
        <f>HYPERLINK("http://www.worldcat.org/oclc/742092","WorldCat Record")</f>
        <v/>
      </c>
      <c r="AU253" t="inlineStr">
        <is>
          <t>602127385:eng</t>
        </is>
      </c>
      <c r="AV253" t="inlineStr">
        <is>
          <t>742092</t>
        </is>
      </c>
      <c r="AW253" t="inlineStr">
        <is>
          <t>991003216119702656</t>
        </is>
      </c>
      <c r="AX253" t="inlineStr">
        <is>
          <t>991003216119702656</t>
        </is>
      </c>
      <c r="AY253" t="inlineStr">
        <is>
          <t>2270276990002656</t>
        </is>
      </c>
      <c r="AZ253" t="inlineStr">
        <is>
          <t>BOOK</t>
        </is>
      </c>
      <c r="BC253" t="inlineStr">
        <is>
          <t>32285002236312</t>
        </is>
      </c>
      <c r="BD253" t="inlineStr">
        <is>
          <t>893410026</t>
        </is>
      </c>
    </row>
    <row r="254">
      <c r="A254" t="inlineStr">
        <is>
          <t>No</t>
        </is>
      </c>
      <c r="B254" t="inlineStr">
        <is>
          <t>BF181 .M33 1970</t>
        </is>
      </c>
      <c r="C254" t="inlineStr">
        <is>
          <t>0                      BF 0181000M  33          1970</t>
        </is>
      </c>
      <c r="D254" t="inlineStr">
        <is>
          <t>Introduction to experimental psychology [by] Douglas W. Matheson, Richard L. Bruce [and] Kenneth L. Beauchamp.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Yes</t>
        </is>
      </c>
      <c r="J254" t="inlineStr">
        <is>
          <t>0</t>
        </is>
      </c>
      <c r="K254" t="inlineStr">
        <is>
          <t>Matheson, Douglas W., 1939-</t>
        </is>
      </c>
      <c r="L254" t="inlineStr">
        <is>
          <t>New York, Holt, Rinehart, and Winston [1970]</t>
        </is>
      </c>
      <c r="M254" t="inlineStr">
        <is>
          <t>1970</t>
        </is>
      </c>
      <c r="O254" t="inlineStr">
        <is>
          <t>eng</t>
        </is>
      </c>
      <c r="P254" t="inlineStr">
        <is>
          <t>nyu</t>
        </is>
      </c>
      <c r="R254" t="inlineStr">
        <is>
          <t xml:space="preserve">BF </t>
        </is>
      </c>
      <c r="S254" t="n">
        <v>1</v>
      </c>
      <c r="T254" t="n">
        <v>1</v>
      </c>
      <c r="U254" t="inlineStr">
        <is>
          <t>1995-10-22</t>
        </is>
      </c>
      <c r="V254" t="inlineStr">
        <is>
          <t>1995-10-22</t>
        </is>
      </c>
      <c r="W254" t="inlineStr">
        <is>
          <t>1990-08-16</t>
        </is>
      </c>
      <c r="X254" t="inlineStr">
        <is>
          <t>1990-08-16</t>
        </is>
      </c>
      <c r="Y254" t="n">
        <v>315</v>
      </c>
      <c r="Z254" t="n">
        <v>237</v>
      </c>
      <c r="AA254" t="n">
        <v>326</v>
      </c>
      <c r="AB254" t="n">
        <v>3</v>
      </c>
      <c r="AC254" t="n">
        <v>3</v>
      </c>
      <c r="AD254" t="n">
        <v>15</v>
      </c>
      <c r="AE254" t="n">
        <v>17</v>
      </c>
      <c r="AF254" t="n">
        <v>6</v>
      </c>
      <c r="AG254" t="n">
        <v>7</v>
      </c>
      <c r="AH254" t="n">
        <v>4</v>
      </c>
      <c r="AI254" t="n">
        <v>4</v>
      </c>
      <c r="AJ254" t="n">
        <v>7</v>
      </c>
      <c r="AK254" t="n">
        <v>8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HYPERLINK("http://catalog.hathitrust.org/Record/000661905","HathiTrust Record")</f>
        <v/>
      </c>
      <c r="AS254">
        <f>HYPERLINK("https://creighton-primo.hosted.exlibrisgroup.com/primo-explore/search?tab=default_tab&amp;search_scope=EVERYTHING&amp;vid=01CRU&amp;lang=en_US&amp;offset=0&amp;query=any,contains,991000514769702656","Catalog Record")</f>
        <v/>
      </c>
      <c r="AT254">
        <f>HYPERLINK("http://www.worldcat.org/oclc/84987","WorldCat Record")</f>
        <v/>
      </c>
      <c r="AU254" t="inlineStr">
        <is>
          <t>3887442770:eng</t>
        </is>
      </c>
      <c r="AV254" t="inlineStr">
        <is>
          <t>84987</t>
        </is>
      </c>
      <c r="AW254" t="inlineStr">
        <is>
          <t>991000514769702656</t>
        </is>
      </c>
      <c r="AX254" t="inlineStr">
        <is>
          <t>991000514769702656</t>
        </is>
      </c>
      <c r="AY254" t="inlineStr">
        <is>
          <t>2271345770002656</t>
        </is>
      </c>
      <c r="AZ254" t="inlineStr">
        <is>
          <t>BOOK</t>
        </is>
      </c>
      <c r="BB254" t="inlineStr">
        <is>
          <t>9780030770005</t>
        </is>
      </c>
      <c r="BC254" t="inlineStr">
        <is>
          <t>32285000283274</t>
        </is>
      </c>
      <c r="BD254" t="inlineStr">
        <is>
          <t>893790586</t>
        </is>
      </c>
    </row>
    <row r="255">
      <c r="A255" t="inlineStr">
        <is>
          <t>No</t>
        </is>
      </c>
      <c r="B255" t="inlineStr">
        <is>
          <t>BF181 .M33 1974</t>
        </is>
      </c>
      <c r="C255" t="inlineStr">
        <is>
          <t>0                      BF 0181000M  33          1974</t>
        </is>
      </c>
      <c r="D255" t="inlineStr">
        <is>
          <t>Introduction to experimental psychology / [by] Douglas W. Matheson, Richard L. Bruce [and] Kenneth L. Beauchamp.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Yes</t>
        </is>
      </c>
      <c r="J255" t="inlineStr">
        <is>
          <t>0</t>
        </is>
      </c>
      <c r="K255" t="inlineStr">
        <is>
          <t>Matheson, Douglas W., 1939-</t>
        </is>
      </c>
      <c r="L255" t="inlineStr">
        <is>
          <t>New York : Holt, Rinehart and Winston, 1974.</t>
        </is>
      </c>
      <c r="M255" t="inlineStr">
        <is>
          <t>1974</t>
        </is>
      </c>
      <c r="N255" t="inlineStr">
        <is>
          <t>2d ed.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BF </t>
        </is>
      </c>
      <c r="S255" t="n">
        <v>1</v>
      </c>
      <c r="T255" t="n">
        <v>1</v>
      </c>
      <c r="U255" t="inlineStr">
        <is>
          <t>1995-10-28</t>
        </is>
      </c>
      <c r="V255" t="inlineStr">
        <is>
          <t>1995-10-28</t>
        </is>
      </c>
      <c r="W255" t="inlineStr">
        <is>
          <t>1990-08-16</t>
        </is>
      </c>
      <c r="X255" t="inlineStr">
        <is>
          <t>1990-08-16</t>
        </is>
      </c>
      <c r="Y255" t="n">
        <v>178</v>
      </c>
      <c r="Z255" t="n">
        <v>136</v>
      </c>
      <c r="AA255" t="n">
        <v>326</v>
      </c>
      <c r="AB255" t="n">
        <v>2</v>
      </c>
      <c r="AC255" t="n">
        <v>3</v>
      </c>
      <c r="AD255" t="n">
        <v>5</v>
      </c>
      <c r="AE255" t="n">
        <v>17</v>
      </c>
      <c r="AF255" t="n">
        <v>1</v>
      </c>
      <c r="AG255" t="n">
        <v>7</v>
      </c>
      <c r="AH255" t="n">
        <v>1</v>
      </c>
      <c r="AI255" t="n">
        <v>4</v>
      </c>
      <c r="AJ255" t="n">
        <v>2</v>
      </c>
      <c r="AK255" t="n">
        <v>8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HYPERLINK("https://creighton-primo.hosted.exlibrisgroup.com/primo-explore/search?tab=default_tab&amp;search_scope=EVERYTHING&amp;vid=01CRU&amp;lang=en_US&amp;offset=0&amp;query=any,contains,991003167809702656","Catalog Record")</f>
        <v/>
      </c>
      <c r="AT255">
        <f>HYPERLINK("http://www.worldcat.org/oclc/704884","WorldCat Record")</f>
        <v/>
      </c>
      <c r="AU255" t="inlineStr">
        <is>
          <t>3887442770:eng</t>
        </is>
      </c>
      <c r="AV255" t="inlineStr">
        <is>
          <t>704884</t>
        </is>
      </c>
      <c r="AW255" t="inlineStr">
        <is>
          <t>991003167809702656</t>
        </is>
      </c>
      <c r="AX255" t="inlineStr">
        <is>
          <t>991003167809702656</t>
        </is>
      </c>
      <c r="AY255" t="inlineStr">
        <is>
          <t>2259282010002656</t>
        </is>
      </c>
      <c r="AZ255" t="inlineStr">
        <is>
          <t>BOOK</t>
        </is>
      </c>
      <c r="BB255" t="inlineStr">
        <is>
          <t>9780030915413</t>
        </is>
      </c>
      <c r="BC255" t="inlineStr">
        <is>
          <t>32285000283282</t>
        </is>
      </c>
      <c r="BD255" t="inlineStr">
        <is>
          <t>893445558</t>
        </is>
      </c>
    </row>
    <row r="256">
      <c r="A256" t="inlineStr">
        <is>
          <t>No</t>
        </is>
      </c>
      <c r="B256" t="inlineStr">
        <is>
          <t>BF181 .R62 1981</t>
        </is>
      </c>
      <c r="C256" t="inlineStr">
        <is>
          <t>0                      BF 0181000R  62          1981</t>
        </is>
      </c>
      <c r="D256" t="inlineStr">
        <is>
          <t>Fundamentals of experimental psychology / Paul W. Robinson.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K256" t="inlineStr">
        <is>
          <t>Robinson, Paul W., 1942-</t>
        </is>
      </c>
      <c r="L256" t="inlineStr">
        <is>
          <t>Englewood Cliffs, N.J. : Prentice-Hall, c1981.</t>
        </is>
      </c>
      <c r="M256" t="inlineStr">
        <is>
          <t>1981</t>
        </is>
      </c>
      <c r="N256" t="inlineStr">
        <is>
          <t>2d ed.</t>
        </is>
      </c>
      <c r="O256" t="inlineStr">
        <is>
          <t>eng</t>
        </is>
      </c>
      <c r="P256" t="inlineStr">
        <is>
          <t>nju</t>
        </is>
      </c>
      <c r="R256" t="inlineStr">
        <is>
          <t xml:space="preserve">BF </t>
        </is>
      </c>
      <c r="S256" t="n">
        <v>5</v>
      </c>
      <c r="T256" t="n">
        <v>5</v>
      </c>
      <c r="U256" t="inlineStr">
        <is>
          <t>2002-03-06</t>
        </is>
      </c>
      <c r="V256" t="inlineStr">
        <is>
          <t>2002-03-06</t>
        </is>
      </c>
      <c r="W256" t="inlineStr">
        <is>
          <t>1990-08-16</t>
        </is>
      </c>
      <c r="X256" t="inlineStr">
        <is>
          <t>1990-08-16</t>
        </is>
      </c>
      <c r="Y256" t="n">
        <v>160</v>
      </c>
      <c r="Z256" t="n">
        <v>94</v>
      </c>
      <c r="AA256" t="n">
        <v>243</v>
      </c>
      <c r="AB256" t="n">
        <v>2</v>
      </c>
      <c r="AC256" t="n">
        <v>2</v>
      </c>
      <c r="AD256" t="n">
        <v>5</v>
      </c>
      <c r="AE256" t="n">
        <v>13</v>
      </c>
      <c r="AF256" t="n">
        <v>1</v>
      </c>
      <c r="AG256" t="n">
        <v>4</v>
      </c>
      <c r="AH256" t="n">
        <v>2</v>
      </c>
      <c r="AI256" t="n">
        <v>2</v>
      </c>
      <c r="AJ256" t="n">
        <v>3</v>
      </c>
      <c r="AK256" t="n">
        <v>9</v>
      </c>
      <c r="AL256" t="n">
        <v>1</v>
      </c>
      <c r="AM256" t="n">
        <v>1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HYPERLINK("https://creighton-primo.hosted.exlibrisgroup.com/primo-explore/search?tab=default_tab&amp;search_scope=EVERYTHING&amp;vid=01CRU&amp;lang=en_US&amp;offset=0&amp;query=any,contains,991005032289702656","Catalog Record")</f>
        <v/>
      </c>
      <c r="AT256">
        <f>HYPERLINK("http://www.worldcat.org/oclc/6734318","WorldCat Record")</f>
        <v/>
      </c>
      <c r="AU256" t="inlineStr">
        <is>
          <t>146754045:eng</t>
        </is>
      </c>
      <c r="AV256" t="inlineStr">
        <is>
          <t>6734318</t>
        </is>
      </c>
      <c r="AW256" t="inlineStr">
        <is>
          <t>991005032289702656</t>
        </is>
      </c>
      <c r="AX256" t="inlineStr">
        <is>
          <t>991005032289702656</t>
        </is>
      </c>
      <c r="AY256" t="inlineStr">
        <is>
          <t>2268513690002656</t>
        </is>
      </c>
      <c r="AZ256" t="inlineStr">
        <is>
          <t>BOOK</t>
        </is>
      </c>
      <c r="BB256" t="inlineStr">
        <is>
          <t>9780133391350</t>
        </is>
      </c>
      <c r="BC256" t="inlineStr">
        <is>
          <t>32285000283316</t>
        </is>
      </c>
      <c r="BD256" t="inlineStr">
        <is>
          <t>893353654</t>
        </is>
      </c>
    </row>
    <row r="257">
      <c r="A257" t="inlineStr">
        <is>
          <t>No</t>
        </is>
      </c>
      <c r="B257" t="inlineStr">
        <is>
          <t>BF181 .R67</t>
        </is>
      </c>
      <c r="C257" t="inlineStr">
        <is>
          <t>0                      BF 0181000R  67</t>
        </is>
      </c>
      <c r="D257" t="inlineStr">
        <is>
          <t>The volunteer subject / [by] Robert Rosenthal [and] Ralph L. Rosnow.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Rosenthal, Robert, 1933-</t>
        </is>
      </c>
      <c r="L257" t="inlineStr">
        <is>
          <t>New York : Wiley, [1975]</t>
        </is>
      </c>
      <c r="M257" t="inlineStr">
        <is>
          <t>1975</t>
        </is>
      </c>
      <c r="O257" t="inlineStr">
        <is>
          <t>eng</t>
        </is>
      </c>
      <c r="P257" t="inlineStr">
        <is>
          <t>nyu</t>
        </is>
      </c>
      <c r="Q257" t="inlineStr">
        <is>
          <t>Wiley series on personality processes</t>
        </is>
      </c>
      <c r="R257" t="inlineStr">
        <is>
          <t xml:space="preserve">BF </t>
        </is>
      </c>
      <c r="S257" t="n">
        <v>2</v>
      </c>
      <c r="T257" t="n">
        <v>2</v>
      </c>
      <c r="U257" t="inlineStr">
        <is>
          <t>2002-04-02</t>
        </is>
      </c>
      <c r="V257" t="inlineStr">
        <is>
          <t>2002-04-02</t>
        </is>
      </c>
      <c r="W257" t="inlineStr">
        <is>
          <t>1993-10-26</t>
        </is>
      </c>
      <c r="X257" t="inlineStr">
        <is>
          <t>1993-10-26</t>
        </is>
      </c>
      <c r="Y257" t="n">
        <v>571</v>
      </c>
      <c r="Z257" t="n">
        <v>451</v>
      </c>
      <c r="AA257" t="n">
        <v>466</v>
      </c>
      <c r="AB257" t="n">
        <v>4</v>
      </c>
      <c r="AC257" t="n">
        <v>4</v>
      </c>
      <c r="AD257" t="n">
        <v>22</v>
      </c>
      <c r="AE257" t="n">
        <v>22</v>
      </c>
      <c r="AF257" t="n">
        <v>6</v>
      </c>
      <c r="AG257" t="n">
        <v>6</v>
      </c>
      <c r="AH257" t="n">
        <v>7</v>
      </c>
      <c r="AI257" t="n">
        <v>7</v>
      </c>
      <c r="AJ257" t="n">
        <v>13</v>
      </c>
      <c r="AK257" t="n">
        <v>13</v>
      </c>
      <c r="AL257" t="n">
        <v>2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HYPERLINK("http://catalog.hathitrust.org/Record/000658929","HathiTrust Record")</f>
        <v/>
      </c>
      <c r="AS257">
        <f>HYPERLINK("https://creighton-primo.hosted.exlibrisgroup.com/primo-explore/search?tab=default_tab&amp;search_scope=EVERYTHING&amp;vid=01CRU&amp;lang=en_US&amp;offset=0&amp;query=any,contains,991003483869702656","Catalog Record")</f>
        <v/>
      </c>
      <c r="AT257">
        <f>HYPERLINK("http://www.worldcat.org/oclc/1031210","WorldCat Record")</f>
        <v/>
      </c>
      <c r="AU257" t="inlineStr">
        <is>
          <t>1975753:eng</t>
        </is>
      </c>
      <c r="AV257" t="inlineStr">
        <is>
          <t>1031210</t>
        </is>
      </c>
      <c r="AW257" t="inlineStr">
        <is>
          <t>991003483869702656</t>
        </is>
      </c>
      <c r="AX257" t="inlineStr">
        <is>
          <t>991003483869702656</t>
        </is>
      </c>
      <c r="AY257" t="inlineStr">
        <is>
          <t>2265548630002656</t>
        </is>
      </c>
      <c r="AZ257" t="inlineStr">
        <is>
          <t>BOOK</t>
        </is>
      </c>
      <c r="BB257" t="inlineStr">
        <is>
          <t>9780471736707</t>
        </is>
      </c>
      <c r="BC257" t="inlineStr">
        <is>
          <t>32285001795144</t>
        </is>
      </c>
      <c r="BD257" t="inlineStr">
        <is>
          <t>893258462</t>
        </is>
      </c>
    </row>
    <row r="258">
      <c r="A258" t="inlineStr">
        <is>
          <t>No</t>
        </is>
      </c>
      <c r="B258" t="inlineStr">
        <is>
          <t>BF181 .S43</t>
        </is>
      </c>
      <c r="C258" t="inlineStr">
        <is>
          <t>0                      BF 0181000S  43</t>
        </is>
      </c>
      <c r="D258" t="inlineStr">
        <is>
          <t>Fundamentals of experimental psychology [by] Charles L. Sheridan.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Sheridan, Charles L., 1937-</t>
        </is>
      </c>
      <c r="L258" t="inlineStr">
        <is>
          <t>New York, Holt, Rinehart and Winston [1971]</t>
        </is>
      </c>
      <c r="M258" t="inlineStr">
        <is>
          <t>1971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BF </t>
        </is>
      </c>
      <c r="S258" t="n">
        <v>1</v>
      </c>
      <c r="T258" t="n">
        <v>1</v>
      </c>
      <c r="U258" t="inlineStr">
        <is>
          <t>2002-03-06</t>
        </is>
      </c>
      <c r="V258" t="inlineStr">
        <is>
          <t>2002-03-06</t>
        </is>
      </c>
      <c r="W258" t="inlineStr">
        <is>
          <t>1996-07-24</t>
        </is>
      </c>
      <c r="X258" t="inlineStr">
        <is>
          <t>1996-07-24</t>
        </is>
      </c>
      <c r="Y258" t="n">
        <v>291</v>
      </c>
      <c r="Z258" t="n">
        <v>208</v>
      </c>
      <c r="AA258" t="n">
        <v>300</v>
      </c>
      <c r="AB258" t="n">
        <v>2</v>
      </c>
      <c r="AC258" t="n">
        <v>2</v>
      </c>
      <c r="AD258" t="n">
        <v>11</v>
      </c>
      <c r="AE258" t="n">
        <v>14</v>
      </c>
      <c r="AF258" t="n">
        <v>4</v>
      </c>
      <c r="AG258" t="n">
        <v>5</v>
      </c>
      <c r="AH258" t="n">
        <v>1</v>
      </c>
      <c r="AI258" t="n">
        <v>1</v>
      </c>
      <c r="AJ258" t="n">
        <v>5</v>
      </c>
      <c r="AK258" t="n">
        <v>8</v>
      </c>
      <c r="AL258" t="n">
        <v>1</v>
      </c>
      <c r="AM258" t="n">
        <v>1</v>
      </c>
      <c r="AN258" t="n">
        <v>0</v>
      </c>
      <c r="AO258" t="n">
        <v>0</v>
      </c>
      <c r="AP258" t="inlineStr">
        <is>
          <t>No</t>
        </is>
      </c>
      <c r="AQ258" t="inlineStr">
        <is>
          <t>Yes</t>
        </is>
      </c>
      <c r="AR258">
        <f>HYPERLINK("http://catalog.hathitrust.org/Record/000662028","HathiTrust Record")</f>
        <v/>
      </c>
      <c r="AS258">
        <f>HYPERLINK("https://creighton-primo.hosted.exlibrisgroup.com/primo-explore/search?tab=default_tab&amp;search_scope=EVERYTHING&amp;vid=01CRU&amp;lang=en_US&amp;offset=0&amp;query=any,contains,991000813499702656","Catalog Record")</f>
        <v/>
      </c>
      <c r="AT258">
        <f>HYPERLINK("http://www.worldcat.org/oclc/141490","WorldCat Record")</f>
        <v/>
      </c>
      <c r="AU258" t="inlineStr">
        <is>
          <t>1306566:eng</t>
        </is>
      </c>
      <c r="AV258" t="inlineStr">
        <is>
          <t>141490</t>
        </is>
      </c>
      <c r="AW258" t="inlineStr">
        <is>
          <t>991000813499702656</t>
        </is>
      </c>
      <c r="AX258" t="inlineStr">
        <is>
          <t>991000813499702656</t>
        </is>
      </c>
      <c r="AY258" t="inlineStr">
        <is>
          <t>2256028950002656</t>
        </is>
      </c>
      <c r="AZ258" t="inlineStr">
        <is>
          <t>BOOK</t>
        </is>
      </c>
      <c r="BB258" t="inlineStr">
        <is>
          <t>9780030794957</t>
        </is>
      </c>
      <c r="BC258" t="inlineStr">
        <is>
          <t>32285002236437</t>
        </is>
      </c>
      <c r="BD258" t="inlineStr">
        <is>
          <t>893891044</t>
        </is>
      </c>
    </row>
    <row r="259">
      <c r="A259" t="inlineStr">
        <is>
          <t>No</t>
        </is>
      </c>
      <c r="B259" t="inlineStr">
        <is>
          <t>BF181 .S8 1988</t>
        </is>
      </c>
      <c r="C259" t="inlineStr">
        <is>
          <t>0                      BF 0181000S  8           1988</t>
        </is>
      </c>
      <c r="D259" t="inlineStr">
        <is>
          <t>Steven's handbook of experimental psychology.</t>
        </is>
      </c>
      <c r="E259" t="inlineStr">
        <is>
          <t>V.1</t>
        </is>
      </c>
      <c r="F259" t="inlineStr">
        <is>
          <t>Yes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Handbook of experimental psychology.</t>
        </is>
      </c>
      <c r="L259" t="inlineStr">
        <is>
          <t>New York : Wiley, c1988.</t>
        </is>
      </c>
      <c r="M259" t="inlineStr">
        <is>
          <t>1900</t>
        </is>
      </c>
      <c r="N259" t="inlineStr">
        <is>
          <t>2nd ed. / edited by Richard C. Atkinson ... [et al.].</t>
        </is>
      </c>
      <c r="O259" t="inlineStr">
        <is>
          <t>eng</t>
        </is>
      </c>
      <c r="P259" t="inlineStr">
        <is>
          <t>nyu</t>
        </is>
      </c>
      <c r="R259" t="inlineStr">
        <is>
          <t xml:space="preserve">BF </t>
        </is>
      </c>
      <c r="S259" t="n">
        <v>2</v>
      </c>
      <c r="T259" t="n">
        <v>4</v>
      </c>
      <c r="U259" t="inlineStr">
        <is>
          <t>2001-01-09</t>
        </is>
      </c>
      <c r="V259" t="inlineStr">
        <is>
          <t>2001-01-09</t>
        </is>
      </c>
      <c r="W259" t="inlineStr">
        <is>
          <t>1990-08-16</t>
        </is>
      </c>
      <c r="X259" t="inlineStr">
        <is>
          <t>1990-08-16</t>
        </is>
      </c>
      <c r="Y259" t="n">
        <v>582</v>
      </c>
      <c r="Z259" t="n">
        <v>472</v>
      </c>
      <c r="AA259" t="n">
        <v>488</v>
      </c>
      <c r="AB259" t="n">
        <v>4</v>
      </c>
      <c r="AC259" t="n">
        <v>4</v>
      </c>
      <c r="AD259" t="n">
        <v>23</v>
      </c>
      <c r="AE259" t="n">
        <v>24</v>
      </c>
      <c r="AF259" t="n">
        <v>6</v>
      </c>
      <c r="AG259" t="n">
        <v>7</v>
      </c>
      <c r="AH259" t="n">
        <v>6</v>
      </c>
      <c r="AI259" t="n">
        <v>6</v>
      </c>
      <c r="AJ259" t="n">
        <v>13</v>
      </c>
      <c r="AK259" t="n">
        <v>14</v>
      </c>
      <c r="AL259" t="n">
        <v>3</v>
      </c>
      <c r="AM259" t="n">
        <v>3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HYPERLINK("http://catalog.hathitrust.org/Record/000924658","HathiTrust Record")</f>
        <v/>
      </c>
      <c r="AS259">
        <f>HYPERLINK("https://creighton-primo.hosted.exlibrisgroup.com/primo-explore/search?tab=default_tab&amp;search_scope=EVERYTHING&amp;vid=01CRU&amp;lang=en_US&amp;offset=0&amp;query=any,contains,991001174039702656","Catalog Record")</f>
        <v/>
      </c>
      <c r="AT259">
        <f>HYPERLINK("http://www.worldcat.org/oclc/16984598","WorldCat Record")</f>
        <v/>
      </c>
      <c r="AU259" t="inlineStr">
        <is>
          <t>5453914130:eng</t>
        </is>
      </c>
      <c r="AV259" t="inlineStr">
        <is>
          <t>16984598</t>
        </is>
      </c>
      <c r="AW259" t="inlineStr">
        <is>
          <t>991001174039702656</t>
        </is>
      </c>
      <c r="AX259" t="inlineStr">
        <is>
          <t>991001174039702656</t>
        </is>
      </c>
      <c r="AY259" t="inlineStr">
        <is>
          <t>2269869030002656</t>
        </is>
      </c>
      <c r="AZ259" t="inlineStr">
        <is>
          <t>BOOK</t>
        </is>
      </c>
      <c r="BB259" t="inlineStr">
        <is>
          <t>9780471042037</t>
        </is>
      </c>
      <c r="BC259" t="inlineStr">
        <is>
          <t>32285000283324</t>
        </is>
      </c>
      <c r="BD259" t="inlineStr">
        <is>
          <t>893590078</t>
        </is>
      </c>
    </row>
    <row r="260">
      <c r="A260" t="inlineStr">
        <is>
          <t>No</t>
        </is>
      </c>
      <c r="B260" t="inlineStr">
        <is>
          <t>BF181 .S8 1988</t>
        </is>
      </c>
      <c r="C260" t="inlineStr">
        <is>
          <t>0                      BF 0181000S  8           1988</t>
        </is>
      </c>
      <c r="D260" t="inlineStr">
        <is>
          <t>Steven's handbook of experimental psychology.</t>
        </is>
      </c>
      <c r="E260" t="inlineStr">
        <is>
          <t>V.2</t>
        </is>
      </c>
      <c r="F260" t="inlineStr">
        <is>
          <t>Yes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Handbook of experimental psychology.</t>
        </is>
      </c>
      <c r="L260" t="inlineStr">
        <is>
          <t>New York : Wiley, c1988.</t>
        </is>
      </c>
      <c r="M260" t="inlineStr">
        <is>
          <t>1900</t>
        </is>
      </c>
      <c r="N260" t="inlineStr">
        <is>
          <t>2nd ed. / edited by Richard C. Atkinson ... [et al.].</t>
        </is>
      </c>
      <c r="O260" t="inlineStr">
        <is>
          <t>eng</t>
        </is>
      </c>
      <c r="P260" t="inlineStr">
        <is>
          <t>nyu</t>
        </is>
      </c>
      <c r="R260" t="inlineStr">
        <is>
          <t xml:space="preserve">BF </t>
        </is>
      </c>
      <c r="S260" t="n">
        <v>2</v>
      </c>
      <c r="T260" t="n">
        <v>4</v>
      </c>
      <c r="V260" t="inlineStr">
        <is>
          <t>2001-01-09</t>
        </is>
      </c>
      <c r="W260" t="inlineStr">
        <is>
          <t>1990-08-16</t>
        </is>
      </c>
      <c r="X260" t="inlineStr">
        <is>
          <t>1990-08-16</t>
        </is>
      </c>
      <c r="Y260" t="n">
        <v>582</v>
      </c>
      <c r="Z260" t="n">
        <v>472</v>
      </c>
      <c r="AA260" t="n">
        <v>488</v>
      </c>
      <c r="AB260" t="n">
        <v>4</v>
      </c>
      <c r="AC260" t="n">
        <v>4</v>
      </c>
      <c r="AD260" t="n">
        <v>23</v>
      </c>
      <c r="AE260" t="n">
        <v>24</v>
      </c>
      <c r="AF260" t="n">
        <v>6</v>
      </c>
      <c r="AG260" t="n">
        <v>7</v>
      </c>
      <c r="AH260" t="n">
        <v>6</v>
      </c>
      <c r="AI260" t="n">
        <v>6</v>
      </c>
      <c r="AJ260" t="n">
        <v>13</v>
      </c>
      <c r="AK260" t="n">
        <v>14</v>
      </c>
      <c r="AL260" t="n">
        <v>3</v>
      </c>
      <c r="AM260" t="n">
        <v>3</v>
      </c>
      <c r="AN260" t="n">
        <v>0</v>
      </c>
      <c r="AO260" t="n">
        <v>0</v>
      </c>
      <c r="AP260" t="inlineStr">
        <is>
          <t>No</t>
        </is>
      </c>
      <c r="AQ260" t="inlineStr">
        <is>
          <t>Yes</t>
        </is>
      </c>
      <c r="AR260">
        <f>HYPERLINK("http://catalog.hathitrust.org/Record/000924658","HathiTrust Record")</f>
        <v/>
      </c>
      <c r="AS260">
        <f>HYPERLINK("https://creighton-primo.hosted.exlibrisgroup.com/primo-explore/search?tab=default_tab&amp;search_scope=EVERYTHING&amp;vid=01CRU&amp;lang=en_US&amp;offset=0&amp;query=any,contains,991001174039702656","Catalog Record")</f>
        <v/>
      </c>
      <c r="AT260">
        <f>HYPERLINK("http://www.worldcat.org/oclc/16984598","WorldCat Record")</f>
        <v/>
      </c>
      <c r="AU260" t="inlineStr">
        <is>
          <t>5453914130:eng</t>
        </is>
      </c>
      <c r="AV260" t="inlineStr">
        <is>
          <t>16984598</t>
        </is>
      </c>
      <c r="AW260" t="inlineStr">
        <is>
          <t>991001174039702656</t>
        </is>
      </c>
      <c r="AX260" t="inlineStr">
        <is>
          <t>991001174039702656</t>
        </is>
      </c>
      <c r="AY260" t="inlineStr">
        <is>
          <t>2269869030002656</t>
        </is>
      </c>
      <c r="AZ260" t="inlineStr">
        <is>
          <t>BOOK</t>
        </is>
      </c>
      <c r="BB260" t="inlineStr">
        <is>
          <t>9780471042037</t>
        </is>
      </c>
      <c r="BC260" t="inlineStr">
        <is>
          <t>32285000283332</t>
        </is>
      </c>
      <c r="BD260" t="inlineStr">
        <is>
          <t>893608615</t>
        </is>
      </c>
    </row>
    <row r="261">
      <c r="A261" t="inlineStr">
        <is>
          <t>No</t>
        </is>
      </c>
      <c r="B261" t="inlineStr">
        <is>
          <t>BF186 .B4413 1973</t>
        </is>
      </c>
      <c r="C261" t="inlineStr">
        <is>
          <t>0                      BF 0186000B  4413        1973</t>
        </is>
      </c>
      <c r="D261" t="inlineStr">
        <is>
          <t>General principles of human reflexology [by] Vladimir Michailovitch Bechterev. [Translated by Emma and William Murphy]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Bekhterev, Vladimir Mikhaĭlovich, 1857-1927.</t>
        </is>
      </c>
      <c r="L261" t="inlineStr">
        <is>
          <t>New York, Arno Press, 1973.</t>
        </is>
      </c>
      <c r="M261" t="inlineStr">
        <is>
          <t>1973</t>
        </is>
      </c>
      <c r="O261" t="inlineStr">
        <is>
          <t>eng</t>
        </is>
      </c>
      <c r="P261" t="inlineStr">
        <is>
          <t>nyu</t>
        </is>
      </c>
      <c r="Q261" t="inlineStr">
        <is>
          <t>Classics in psychology</t>
        </is>
      </c>
      <c r="R261" t="inlineStr">
        <is>
          <t xml:space="preserve">BF </t>
        </is>
      </c>
      <c r="S261" t="n">
        <v>3</v>
      </c>
      <c r="T261" t="n">
        <v>3</v>
      </c>
      <c r="U261" t="inlineStr">
        <is>
          <t>2002-09-16</t>
        </is>
      </c>
      <c r="V261" t="inlineStr">
        <is>
          <t>2002-09-16</t>
        </is>
      </c>
      <c r="W261" t="inlineStr">
        <is>
          <t>1996-07-24</t>
        </is>
      </c>
      <c r="X261" t="inlineStr">
        <is>
          <t>1996-07-24</t>
        </is>
      </c>
      <c r="Y261" t="n">
        <v>268</v>
      </c>
      <c r="Z261" t="n">
        <v>236</v>
      </c>
      <c r="AA261" t="n">
        <v>320</v>
      </c>
      <c r="AB261" t="n">
        <v>2</v>
      </c>
      <c r="AC261" t="n">
        <v>3</v>
      </c>
      <c r="AD261" t="n">
        <v>13</v>
      </c>
      <c r="AE261" t="n">
        <v>17</v>
      </c>
      <c r="AF261" t="n">
        <v>3</v>
      </c>
      <c r="AG261" t="n">
        <v>4</v>
      </c>
      <c r="AH261" t="n">
        <v>5</v>
      </c>
      <c r="AI261" t="n">
        <v>5</v>
      </c>
      <c r="AJ261" t="n">
        <v>7</v>
      </c>
      <c r="AK261" t="n">
        <v>9</v>
      </c>
      <c r="AL261" t="n">
        <v>1</v>
      </c>
      <c r="AM261" t="n">
        <v>2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HYPERLINK("http://catalog.hathitrust.org/Record/000662733","HathiTrust Record")</f>
        <v/>
      </c>
      <c r="AS261">
        <f>HYPERLINK("https://creighton-primo.hosted.exlibrisgroup.com/primo-explore/search?tab=default_tab&amp;search_scope=EVERYTHING&amp;vid=01CRU&amp;lang=en_US&amp;offset=0&amp;query=any,contains,991003075119702656","Catalog Record")</f>
        <v/>
      </c>
      <c r="AT261">
        <f>HYPERLINK("http://www.worldcat.org/oclc/628251","WorldCat Record")</f>
        <v/>
      </c>
      <c r="AU261" t="inlineStr">
        <is>
          <t>1728494:eng</t>
        </is>
      </c>
      <c r="AV261" t="inlineStr">
        <is>
          <t>628251</t>
        </is>
      </c>
      <c r="AW261" t="inlineStr">
        <is>
          <t>991003075119702656</t>
        </is>
      </c>
      <c r="AX261" t="inlineStr">
        <is>
          <t>991003075119702656</t>
        </is>
      </c>
      <c r="AY261" t="inlineStr">
        <is>
          <t>2269503080002656</t>
        </is>
      </c>
      <c r="AZ261" t="inlineStr">
        <is>
          <t>BOOK</t>
        </is>
      </c>
      <c r="BB261" t="inlineStr">
        <is>
          <t>9780405051340</t>
        </is>
      </c>
      <c r="BC261" t="inlineStr">
        <is>
          <t>32285002236502</t>
        </is>
      </c>
      <c r="BD261" t="inlineStr">
        <is>
          <t>893880798</t>
        </is>
      </c>
    </row>
    <row r="262">
      <c r="A262" t="inlineStr">
        <is>
          <t>No</t>
        </is>
      </c>
      <c r="B262" t="inlineStr">
        <is>
          <t>BF191 .R6</t>
        </is>
      </c>
      <c r="C262" t="inlineStr">
        <is>
          <t>0                      BF 0191000R  6</t>
        </is>
      </c>
      <c r="D262" t="inlineStr">
        <is>
          <t>Behaviorism and psychology / by A. A. Roback.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Roback, A. A. (Abraham Aaron), 1890-1965.</t>
        </is>
      </c>
      <c r="L262" t="inlineStr">
        <is>
          <t>Cambridge : University bookstore, inc., 1923.</t>
        </is>
      </c>
      <c r="M262" t="inlineStr">
        <is>
          <t>1923</t>
        </is>
      </c>
      <c r="O262" t="inlineStr">
        <is>
          <t>eng</t>
        </is>
      </c>
      <c r="P262" t="inlineStr">
        <is>
          <t>mau</t>
        </is>
      </c>
      <c r="R262" t="inlineStr">
        <is>
          <t xml:space="preserve">BF </t>
        </is>
      </c>
      <c r="S262" t="n">
        <v>1</v>
      </c>
      <c r="T262" t="n">
        <v>1</v>
      </c>
      <c r="U262" t="inlineStr">
        <is>
          <t>2001-11-04</t>
        </is>
      </c>
      <c r="V262" t="inlineStr">
        <is>
          <t>2001-11-04</t>
        </is>
      </c>
      <c r="W262" t="inlineStr">
        <is>
          <t>1993-11-11</t>
        </is>
      </c>
      <c r="X262" t="inlineStr">
        <is>
          <t>1993-11-11</t>
        </is>
      </c>
      <c r="Y262" t="n">
        <v>218</v>
      </c>
      <c r="Z262" t="n">
        <v>174</v>
      </c>
      <c r="AA262" t="n">
        <v>264</v>
      </c>
      <c r="AB262" t="n">
        <v>2</v>
      </c>
      <c r="AC262" t="n">
        <v>3</v>
      </c>
      <c r="AD262" t="n">
        <v>10</v>
      </c>
      <c r="AE262" t="n">
        <v>15</v>
      </c>
      <c r="AF262" t="n">
        <v>1</v>
      </c>
      <c r="AG262" t="n">
        <v>3</v>
      </c>
      <c r="AH262" t="n">
        <v>3</v>
      </c>
      <c r="AI262" t="n">
        <v>3</v>
      </c>
      <c r="AJ262" t="n">
        <v>7</v>
      </c>
      <c r="AK262" t="n">
        <v>9</v>
      </c>
      <c r="AL262" t="n">
        <v>1</v>
      </c>
      <c r="AM262" t="n">
        <v>2</v>
      </c>
      <c r="AN262" t="n">
        <v>0</v>
      </c>
      <c r="AO262" t="n">
        <v>0</v>
      </c>
      <c r="AP262" t="inlineStr">
        <is>
          <t>Yes</t>
        </is>
      </c>
      <c r="AQ262" t="inlineStr">
        <is>
          <t>No</t>
        </is>
      </c>
      <c r="AR262">
        <f>HYPERLINK("http://catalog.hathitrust.org/Record/000660190","HathiTrust Record")</f>
        <v/>
      </c>
      <c r="AS262">
        <f>HYPERLINK("https://creighton-primo.hosted.exlibrisgroup.com/primo-explore/search?tab=default_tab&amp;search_scope=EVERYTHING&amp;vid=01CRU&amp;lang=en_US&amp;offset=0&amp;query=any,contains,991003930669702656","Catalog Record")</f>
        <v/>
      </c>
      <c r="AT262">
        <f>HYPERLINK("http://www.worldcat.org/oclc/1895814","WorldCat Record")</f>
        <v/>
      </c>
      <c r="AU262" t="inlineStr">
        <is>
          <t>3510949:eng</t>
        </is>
      </c>
      <c r="AV262" t="inlineStr">
        <is>
          <t>1895814</t>
        </is>
      </c>
      <c r="AW262" t="inlineStr">
        <is>
          <t>991003930669702656</t>
        </is>
      </c>
      <c r="AX262" t="inlineStr">
        <is>
          <t>991003930669702656</t>
        </is>
      </c>
      <c r="AY262" t="inlineStr">
        <is>
          <t>2261536440002656</t>
        </is>
      </c>
      <c r="AZ262" t="inlineStr">
        <is>
          <t>BOOK</t>
        </is>
      </c>
      <c r="BC262" t="inlineStr">
        <is>
          <t>32285001798320</t>
        </is>
      </c>
      <c r="BD262" t="inlineStr">
        <is>
          <t>893263019</t>
        </is>
      </c>
    </row>
    <row r="263">
      <c r="A263" t="inlineStr">
        <is>
          <t>No</t>
        </is>
      </c>
      <c r="B263" t="inlineStr">
        <is>
          <t>BF199 .B67</t>
        </is>
      </c>
      <c r="C263" t="inlineStr">
        <is>
          <t>0                      BF 0199000B  67</t>
        </is>
      </c>
      <c r="D263" t="inlineStr">
        <is>
          <t>The motivation of behavior.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Brown, Judson Seise, 1910-2005.</t>
        </is>
      </c>
      <c r="L263" t="inlineStr">
        <is>
          <t>New York, McGraw-Hill, 1961.</t>
        </is>
      </c>
      <c r="M263" t="inlineStr">
        <is>
          <t>1961</t>
        </is>
      </c>
      <c r="O263" t="inlineStr">
        <is>
          <t>eng</t>
        </is>
      </c>
      <c r="P263" t="inlineStr">
        <is>
          <t>nyu</t>
        </is>
      </c>
      <c r="Q263" t="inlineStr">
        <is>
          <t>McGraw-Hill series in psychology</t>
        </is>
      </c>
      <c r="R263" t="inlineStr">
        <is>
          <t xml:space="preserve">BF </t>
        </is>
      </c>
      <c r="S263" t="n">
        <v>1</v>
      </c>
      <c r="T263" t="n">
        <v>1</v>
      </c>
      <c r="U263" t="inlineStr">
        <is>
          <t>2009-03-22</t>
        </is>
      </c>
      <c r="V263" t="inlineStr">
        <is>
          <t>2009-03-22</t>
        </is>
      </c>
      <c r="W263" t="inlineStr">
        <is>
          <t>1996-07-24</t>
        </is>
      </c>
      <c r="X263" t="inlineStr">
        <is>
          <t>1996-07-24</t>
        </is>
      </c>
      <c r="Y263" t="n">
        <v>870</v>
      </c>
      <c r="Z263" t="n">
        <v>695</v>
      </c>
      <c r="AA263" t="n">
        <v>727</v>
      </c>
      <c r="AB263" t="n">
        <v>6</v>
      </c>
      <c r="AC263" t="n">
        <v>6</v>
      </c>
      <c r="AD263" t="n">
        <v>32</v>
      </c>
      <c r="AE263" t="n">
        <v>32</v>
      </c>
      <c r="AF263" t="n">
        <v>10</v>
      </c>
      <c r="AG263" t="n">
        <v>10</v>
      </c>
      <c r="AH263" t="n">
        <v>7</v>
      </c>
      <c r="AI263" t="n">
        <v>7</v>
      </c>
      <c r="AJ263" t="n">
        <v>17</v>
      </c>
      <c r="AK263" t="n">
        <v>17</v>
      </c>
      <c r="AL263" t="n">
        <v>4</v>
      </c>
      <c r="AM263" t="n">
        <v>4</v>
      </c>
      <c r="AN263" t="n">
        <v>0</v>
      </c>
      <c r="AO263" t="n">
        <v>0</v>
      </c>
      <c r="AP263" t="inlineStr">
        <is>
          <t>Yes</t>
        </is>
      </c>
      <c r="AQ263" t="inlineStr">
        <is>
          <t>No</t>
        </is>
      </c>
      <c r="AR263">
        <f>HYPERLINK("http://catalog.hathitrust.org/Record/000660457","HathiTrust Record")</f>
        <v/>
      </c>
      <c r="AS263">
        <f>HYPERLINK("https://creighton-primo.hosted.exlibrisgroup.com/primo-explore/search?tab=default_tab&amp;search_scope=EVERYTHING&amp;vid=01CRU&amp;lang=en_US&amp;offset=0&amp;query=any,contains,991001372469702656","Catalog Record")</f>
        <v/>
      </c>
      <c r="AT263">
        <f>HYPERLINK("http://www.worldcat.org/oclc/224041","WorldCat Record")</f>
        <v/>
      </c>
      <c r="AU263" t="inlineStr">
        <is>
          <t>786522448:eng</t>
        </is>
      </c>
      <c r="AV263" t="inlineStr">
        <is>
          <t>224041</t>
        </is>
      </c>
      <c r="AW263" t="inlineStr">
        <is>
          <t>991001372469702656</t>
        </is>
      </c>
      <c r="AX263" t="inlineStr">
        <is>
          <t>991001372469702656</t>
        </is>
      </c>
      <c r="AY263" t="inlineStr">
        <is>
          <t>2264127270002656</t>
        </is>
      </c>
      <c r="AZ263" t="inlineStr">
        <is>
          <t>BOOK</t>
        </is>
      </c>
      <c r="BC263" t="inlineStr">
        <is>
          <t>32285002236593</t>
        </is>
      </c>
      <c r="BD263" t="inlineStr">
        <is>
          <t>893702978</t>
        </is>
      </c>
    </row>
    <row r="264">
      <c r="A264" t="inlineStr">
        <is>
          <t>No</t>
        </is>
      </c>
      <c r="B264" t="inlineStr">
        <is>
          <t>BF199 .L5</t>
        </is>
      </c>
      <c r="C264" t="inlineStr">
        <is>
          <t>0                      BF 0199000L  5</t>
        </is>
      </c>
      <c r="D264" t="inlineStr">
        <is>
          <t>Assessment of human motives [by] Gordon W. Allport [and others]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Lindzey, Gardner editor.</t>
        </is>
      </c>
      <c r="L264" t="inlineStr">
        <is>
          <t>New York, Rinehart [1958]</t>
        </is>
      </c>
      <c r="M264" t="inlineStr">
        <is>
          <t>1958</t>
        </is>
      </c>
      <c r="O264" t="inlineStr">
        <is>
          <t>eng</t>
        </is>
      </c>
      <c r="P264" t="inlineStr">
        <is>
          <t>nyu</t>
        </is>
      </c>
      <c r="Q264" t="inlineStr">
        <is>
          <t>Rinehart books in the assessment of personality</t>
        </is>
      </c>
      <c r="R264" t="inlineStr">
        <is>
          <t xml:space="preserve">BF </t>
        </is>
      </c>
      <c r="S264" t="n">
        <v>1</v>
      </c>
      <c r="T264" t="n">
        <v>1</v>
      </c>
      <c r="U264" t="inlineStr">
        <is>
          <t>2000-10-12</t>
        </is>
      </c>
      <c r="V264" t="inlineStr">
        <is>
          <t>2000-10-12</t>
        </is>
      </c>
      <c r="W264" t="inlineStr">
        <is>
          <t>1996-07-24</t>
        </is>
      </c>
      <c r="X264" t="inlineStr">
        <is>
          <t>1996-07-24</t>
        </is>
      </c>
      <c r="Y264" t="n">
        <v>697</v>
      </c>
      <c r="Z264" t="n">
        <v>596</v>
      </c>
      <c r="AA264" t="n">
        <v>703</v>
      </c>
      <c r="AB264" t="n">
        <v>5</v>
      </c>
      <c r="AC264" t="n">
        <v>5</v>
      </c>
      <c r="AD264" t="n">
        <v>27</v>
      </c>
      <c r="AE264" t="n">
        <v>33</v>
      </c>
      <c r="AF264" t="n">
        <v>10</v>
      </c>
      <c r="AG264" t="n">
        <v>12</v>
      </c>
      <c r="AH264" t="n">
        <v>5</v>
      </c>
      <c r="AI264" t="n">
        <v>7</v>
      </c>
      <c r="AJ264" t="n">
        <v>17</v>
      </c>
      <c r="AK264" t="n">
        <v>20</v>
      </c>
      <c r="AL264" t="n">
        <v>4</v>
      </c>
      <c r="AM264" t="n">
        <v>4</v>
      </c>
      <c r="AN264" t="n">
        <v>0</v>
      </c>
      <c r="AO264" t="n">
        <v>0</v>
      </c>
      <c r="AP264" t="inlineStr">
        <is>
          <t>No</t>
        </is>
      </c>
      <c r="AQ264" t="inlineStr">
        <is>
          <t>No</t>
        </is>
      </c>
      <c r="AR264">
        <f>HYPERLINK("http://catalog.hathitrust.org/Record/000354765","HathiTrust Record")</f>
        <v/>
      </c>
      <c r="AS264">
        <f>HYPERLINK("https://creighton-primo.hosted.exlibrisgroup.com/primo-explore/search?tab=default_tab&amp;search_scope=EVERYTHING&amp;vid=01CRU&amp;lang=en_US&amp;offset=0&amp;query=any,contains,991001373309702656","Catalog Record")</f>
        <v/>
      </c>
      <c r="AT264">
        <f>HYPERLINK("http://www.worldcat.org/oclc/224237","WorldCat Record")</f>
        <v/>
      </c>
      <c r="AU264" t="inlineStr">
        <is>
          <t>212641:eng</t>
        </is>
      </c>
      <c r="AV264" t="inlineStr">
        <is>
          <t>224237</t>
        </is>
      </c>
      <c r="AW264" t="inlineStr">
        <is>
          <t>991001373309702656</t>
        </is>
      </c>
      <c r="AX264" t="inlineStr">
        <is>
          <t>991001373309702656</t>
        </is>
      </c>
      <c r="AY264" t="inlineStr">
        <is>
          <t>2264188420002656</t>
        </is>
      </c>
      <c r="AZ264" t="inlineStr">
        <is>
          <t>BOOK</t>
        </is>
      </c>
      <c r="BC264" t="inlineStr">
        <is>
          <t>32285002236684</t>
        </is>
      </c>
      <c r="BD264" t="inlineStr">
        <is>
          <t>893328083</t>
        </is>
      </c>
    </row>
    <row r="265">
      <c r="A265" t="inlineStr">
        <is>
          <t>No</t>
        </is>
      </c>
      <c r="B265" t="inlineStr">
        <is>
          <t>BF199 .S36 1982</t>
        </is>
      </c>
      <c r="C265" t="inlineStr">
        <is>
          <t>0                      BF 0199000S  36          1982</t>
        </is>
      </c>
      <c r="D265" t="inlineStr">
        <is>
          <t>Behaviorism, science, and human nature / Barry Schwartz, Hugh Lacey.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Schwartz, Barry, 1946-</t>
        </is>
      </c>
      <c r="L265" t="inlineStr">
        <is>
          <t>New York : Norton, c1982.</t>
        </is>
      </c>
      <c r="M265" t="inlineStr">
        <is>
          <t>1982</t>
        </is>
      </c>
      <c r="N265" t="inlineStr">
        <is>
          <t>1st ed.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BF </t>
        </is>
      </c>
      <c r="S265" t="n">
        <v>8</v>
      </c>
      <c r="T265" t="n">
        <v>8</v>
      </c>
      <c r="U265" t="inlineStr">
        <is>
          <t>2009-04-02</t>
        </is>
      </c>
      <c r="V265" t="inlineStr">
        <is>
          <t>2009-04-02</t>
        </is>
      </c>
      <c r="W265" t="inlineStr">
        <is>
          <t>1990-06-19</t>
        </is>
      </c>
      <c r="X265" t="inlineStr">
        <is>
          <t>1990-06-19</t>
        </is>
      </c>
      <c r="Y265" t="n">
        <v>453</v>
      </c>
      <c r="Z265" t="n">
        <v>366</v>
      </c>
      <c r="AA265" t="n">
        <v>368</v>
      </c>
      <c r="AB265" t="n">
        <v>2</v>
      </c>
      <c r="AC265" t="n">
        <v>2</v>
      </c>
      <c r="AD265" t="n">
        <v>14</v>
      </c>
      <c r="AE265" t="n">
        <v>15</v>
      </c>
      <c r="AF265" t="n">
        <v>5</v>
      </c>
      <c r="AG265" t="n">
        <v>6</v>
      </c>
      <c r="AH265" t="n">
        <v>3</v>
      </c>
      <c r="AI265" t="n">
        <v>3</v>
      </c>
      <c r="AJ265" t="n">
        <v>9</v>
      </c>
      <c r="AK265" t="n">
        <v>10</v>
      </c>
      <c r="AL265" t="n">
        <v>1</v>
      </c>
      <c r="AM265" t="n">
        <v>1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HYPERLINK("https://creighton-primo.hosted.exlibrisgroup.com/primo-explore/search?tab=default_tab&amp;search_scope=EVERYTHING&amp;vid=01CRU&amp;lang=en_US&amp;offset=0&amp;query=any,contains,991005186569702656","Catalog Record")</f>
        <v/>
      </c>
      <c r="AT265">
        <f>HYPERLINK("http://www.worldcat.org/oclc/7976621","WorldCat Record")</f>
        <v/>
      </c>
      <c r="AU265" t="inlineStr">
        <is>
          <t>138436890:eng</t>
        </is>
      </c>
      <c r="AV265" t="inlineStr">
        <is>
          <t>7976621</t>
        </is>
      </c>
      <c r="AW265" t="inlineStr">
        <is>
          <t>991005186569702656</t>
        </is>
      </c>
      <c r="AX265" t="inlineStr">
        <is>
          <t>991005186569702656</t>
        </is>
      </c>
      <c r="AY265" t="inlineStr">
        <is>
          <t>2262157110002656</t>
        </is>
      </c>
      <c r="AZ265" t="inlineStr">
        <is>
          <t>BOOK</t>
        </is>
      </c>
      <c r="BB265" t="inlineStr">
        <is>
          <t>9780393951974</t>
        </is>
      </c>
      <c r="BC265" t="inlineStr">
        <is>
          <t>32285000198555</t>
        </is>
      </c>
      <c r="BD265" t="inlineStr">
        <is>
          <t>893789580</t>
        </is>
      </c>
    </row>
    <row r="266">
      <c r="A266" t="inlineStr">
        <is>
          <t>No</t>
        </is>
      </c>
      <c r="B266" t="inlineStr">
        <is>
          <t>BF199 .S45 1988</t>
        </is>
      </c>
      <c r="C266" t="inlineStr">
        <is>
          <t>0                      BF 0199000S  45          1988</t>
        </is>
      </c>
      <c r="D266" t="inlineStr">
        <is>
          <t>The Selection of behavior : the operant behaviorism of B.F. Skinner : comments and consequences / edited by A. Charles Catania and Stevan Harnad.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L266" t="inlineStr">
        <is>
          <t>Cambridge ; New York : Cambridge University Press, 1988.</t>
        </is>
      </c>
      <c r="M266" t="inlineStr">
        <is>
          <t>1988</t>
        </is>
      </c>
      <c r="O266" t="inlineStr">
        <is>
          <t>eng</t>
        </is>
      </c>
      <c r="P266" t="inlineStr">
        <is>
          <t>enk</t>
        </is>
      </c>
      <c r="R266" t="inlineStr">
        <is>
          <t xml:space="preserve">BF </t>
        </is>
      </c>
      <c r="S266" t="n">
        <v>7</v>
      </c>
      <c r="T266" t="n">
        <v>7</v>
      </c>
      <c r="U266" t="inlineStr">
        <is>
          <t>1999-04-26</t>
        </is>
      </c>
      <c r="V266" t="inlineStr">
        <is>
          <t>1999-04-26</t>
        </is>
      </c>
      <c r="W266" t="inlineStr">
        <is>
          <t>1990-07-13</t>
        </is>
      </c>
      <c r="X266" t="inlineStr">
        <is>
          <t>1990-07-13</t>
        </is>
      </c>
      <c r="Y266" t="n">
        <v>577</v>
      </c>
      <c r="Z266" t="n">
        <v>438</v>
      </c>
      <c r="AA266" t="n">
        <v>441</v>
      </c>
      <c r="AB266" t="n">
        <v>4</v>
      </c>
      <c r="AC266" t="n">
        <v>4</v>
      </c>
      <c r="AD266" t="n">
        <v>21</v>
      </c>
      <c r="AE266" t="n">
        <v>21</v>
      </c>
      <c r="AF266" t="n">
        <v>7</v>
      </c>
      <c r="AG266" t="n">
        <v>7</v>
      </c>
      <c r="AH266" t="n">
        <v>5</v>
      </c>
      <c r="AI266" t="n">
        <v>5</v>
      </c>
      <c r="AJ266" t="n">
        <v>11</v>
      </c>
      <c r="AK266" t="n">
        <v>11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HYPERLINK("https://creighton-primo.hosted.exlibrisgroup.com/primo-explore/search?tab=default_tab&amp;search_scope=EVERYTHING&amp;vid=01CRU&amp;lang=en_US&amp;offset=0&amp;query=any,contains,991001179099702656","Catalog Record")</f>
        <v/>
      </c>
      <c r="AT266">
        <f>HYPERLINK("http://www.worldcat.org/oclc/17106105","WorldCat Record")</f>
        <v/>
      </c>
      <c r="AU266" t="inlineStr">
        <is>
          <t>836735342:eng</t>
        </is>
      </c>
      <c r="AV266" t="inlineStr">
        <is>
          <t>17106105</t>
        </is>
      </c>
      <c r="AW266" t="inlineStr">
        <is>
          <t>991001179099702656</t>
        </is>
      </c>
      <c r="AX266" t="inlineStr">
        <is>
          <t>991001179099702656</t>
        </is>
      </c>
      <c r="AY266" t="inlineStr">
        <is>
          <t>2270477910002656</t>
        </is>
      </c>
      <c r="AZ266" t="inlineStr">
        <is>
          <t>BOOK</t>
        </is>
      </c>
      <c r="BB266" t="inlineStr">
        <is>
          <t>9780521348614</t>
        </is>
      </c>
      <c r="BC266" t="inlineStr">
        <is>
          <t>32285000236504</t>
        </is>
      </c>
      <c r="BD266" t="inlineStr">
        <is>
          <t>893346312</t>
        </is>
      </c>
    </row>
    <row r="267">
      <c r="A267" t="inlineStr">
        <is>
          <t>No</t>
        </is>
      </c>
      <c r="B267" t="inlineStr">
        <is>
          <t>BF200 .L3 1963</t>
        </is>
      </c>
      <c r="C267" t="inlineStr">
        <is>
          <t>0                      BF 0200000L  3           1963</t>
        </is>
      </c>
      <c r="D267" t="inlineStr">
        <is>
          <t>Brain mechanisms and intelligence; a quantitative study of injuries to the brain. With a new introduction by D.O. Hebb.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Lashley, Karl S. (Karl Spencer), 1890-1958.</t>
        </is>
      </c>
      <c r="L267" t="inlineStr">
        <is>
          <t>New York, Dover Publications [c1963]</t>
        </is>
      </c>
      <c r="M267" t="inlineStr">
        <is>
          <t>1963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BF </t>
        </is>
      </c>
      <c r="S267" t="n">
        <v>3</v>
      </c>
      <c r="T267" t="n">
        <v>3</v>
      </c>
      <c r="U267" t="inlineStr">
        <is>
          <t>2005-02-09</t>
        </is>
      </c>
      <c r="V267" t="inlineStr">
        <is>
          <t>2005-02-09</t>
        </is>
      </c>
      <c r="W267" t="inlineStr">
        <is>
          <t>1996-07-26</t>
        </is>
      </c>
      <c r="X267" t="inlineStr">
        <is>
          <t>1996-07-26</t>
        </is>
      </c>
      <c r="Y267" t="n">
        <v>327</v>
      </c>
      <c r="Z267" t="n">
        <v>279</v>
      </c>
      <c r="AA267" t="n">
        <v>826</v>
      </c>
      <c r="AB267" t="n">
        <v>2</v>
      </c>
      <c r="AC267" t="n">
        <v>8</v>
      </c>
      <c r="AD267" t="n">
        <v>17</v>
      </c>
      <c r="AE267" t="n">
        <v>39</v>
      </c>
      <c r="AF267" t="n">
        <v>7</v>
      </c>
      <c r="AG267" t="n">
        <v>15</v>
      </c>
      <c r="AH267" t="n">
        <v>3</v>
      </c>
      <c r="AI267" t="n">
        <v>8</v>
      </c>
      <c r="AJ267" t="n">
        <v>9</v>
      </c>
      <c r="AK267" t="n">
        <v>16</v>
      </c>
      <c r="AL267" t="n">
        <v>1</v>
      </c>
      <c r="AM267" t="n">
        <v>7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HYPERLINK("https://creighton-primo.hosted.exlibrisgroup.com/primo-explore/search?tab=default_tab&amp;search_scope=EVERYTHING&amp;vid=01CRU&amp;lang=en_US&amp;offset=0&amp;query=any,contains,991003158759702656","Catalog Record")</f>
        <v/>
      </c>
      <c r="AT267">
        <f>HYPERLINK("http://www.worldcat.org/oclc/697936","WorldCat Record")</f>
        <v/>
      </c>
      <c r="AU267" t="inlineStr">
        <is>
          <t>1354216:eng</t>
        </is>
      </c>
      <c r="AV267" t="inlineStr">
        <is>
          <t>697936</t>
        </is>
      </c>
      <c r="AW267" t="inlineStr">
        <is>
          <t>991003158759702656</t>
        </is>
      </c>
      <c r="AX267" t="inlineStr">
        <is>
          <t>991003158759702656</t>
        </is>
      </c>
      <c r="AY267" t="inlineStr">
        <is>
          <t>2264427350002656</t>
        </is>
      </c>
      <c r="AZ267" t="inlineStr">
        <is>
          <t>BOOK</t>
        </is>
      </c>
      <c r="BC267" t="inlineStr">
        <is>
          <t>32285002237369</t>
        </is>
      </c>
      <c r="BD267" t="inlineStr">
        <is>
          <t>893899677</t>
        </is>
      </c>
    </row>
    <row r="268">
      <c r="A268" t="inlineStr">
        <is>
          <t>No</t>
        </is>
      </c>
      <c r="B268" t="inlineStr">
        <is>
          <t>BF202 .P47 1991</t>
        </is>
      </c>
      <c r="C268" t="inlineStr">
        <is>
          <t>0                      BF 0202000P  47          1991</t>
        </is>
      </c>
      <c r="D268" t="inlineStr">
        <is>
          <t>The Perception of structure : essays in honor of Wendell R. Garner / edited by Gregory R. Lockhead, James R. Pomerantz.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L268" t="inlineStr">
        <is>
          <t>Washington, DC : American Psychological Association, c1991.</t>
        </is>
      </c>
      <c r="M268" t="inlineStr">
        <is>
          <t>1991</t>
        </is>
      </c>
      <c r="N268" t="inlineStr">
        <is>
          <t>1st ed.</t>
        </is>
      </c>
      <c r="O268" t="inlineStr">
        <is>
          <t>eng</t>
        </is>
      </c>
      <c r="P268" t="inlineStr">
        <is>
          <t>dcu</t>
        </is>
      </c>
      <c r="R268" t="inlineStr">
        <is>
          <t xml:space="preserve">BF </t>
        </is>
      </c>
      <c r="S268" t="n">
        <v>4</v>
      </c>
      <c r="T268" t="n">
        <v>4</v>
      </c>
      <c r="U268" t="inlineStr">
        <is>
          <t>2001-03-31</t>
        </is>
      </c>
      <c r="V268" t="inlineStr">
        <is>
          <t>2001-03-31</t>
        </is>
      </c>
      <c r="W268" t="inlineStr">
        <is>
          <t>1992-09-23</t>
        </is>
      </c>
      <c r="X268" t="inlineStr">
        <is>
          <t>1992-09-23</t>
        </is>
      </c>
      <c r="Y268" t="n">
        <v>339</v>
      </c>
      <c r="Z268" t="n">
        <v>237</v>
      </c>
      <c r="AA268" t="n">
        <v>312</v>
      </c>
      <c r="AB268" t="n">
        <v>2</v>
      </c>
      <c r="AC268" t="n">
        <v>3</v>
      </c>
      <c r="AD268" t="n">
        <v>15</v>
      </c>
      <c r="AE268" t="n">
        <v>18</v>
      </c>
      <c r="AF268" t="n">
        <v>6</v>
      </c>
      <c r="AG268" t="n">
        <v>7</v>
      </c>
      <c r="AH268" t="n">
        <v>6</v>
      </c>
      <c r="AI268" t="n">
        <v>6</v>
      </c>
      <c r="AJ268" t="n">
        <v>7</v>
      </c>
      <c r="AK268" t="n">
        <v>8</v>
      </c>
      <c r="AL268" t="n">
        <v>1</v>
      </c>
      <c r="AM268" t="n">
        <v>2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HYPERLINK("https://creighton-primo.hosted.exlibrisgroup.com/primo-explore/search?tab=default_tab&amp;search_scope=EVERYTHING&amp;vid=01CRU&amp;lang=en_US&amp;offset=0&amp;query=any,contains,991001888259702656","Catalog Record")</f>
        <v/>
      </c>
      <c r="AT268">
        <f>HYPERLINK("http://www.worldcat.org/oclc/23769571","WorldCat Record")</f>
        <v/>
      </c>
      <c r="AU268" t="inlineStr">
        <is>
          <t>889381833:eng</t>
        </is>
      </c>
      <c r="AV268" t="inlineStr">
        <is>
          <t>23769571</t>
        </is>
      </c>
      <c r="AW268" t="inlineStr">
        <is>
          <t>991001888259702656</t>
        </is>
      </c>
      <c r="AX268" t="inlineStr">
        <is>
          <t>991001888259702656</t>
        </is>
      </c>
      <c r="AY268" t="inlineStr">
        <is>
          <t>2271934270002656</t>
        </is>
      </c>
      <c r="AZ268" t="inlineStr">
        <is>
          <t>BOOK</t>
        </is>
      </c>
      <c r="BB268" t="inlineStr">
        <is>
          <t>9781557981257</t>
        </is>
      </c>
      <c r="BC268" t="inlineStr">
        <is>
          <t>32285001288835</t>
        </is>
      </c>
      <c r="BD268" t="inlineStr">
        <is>
          <t>893503774</t>
        </is>
      </c>
    </row>
    <row r="269">
      <c r="A269" t="inlineStr">
        <is>
          <t>No</t>
        </is>
      </c>
      <c r="B269" t="inlineStr">
        <is>
          <t>BF203 .H35</t>
        </is>
      </c>
      <c r="C269" t="inlineStr">
        <is>
          <t>0                      BF 0203000H  35</t>
        </is>
      </c>
      <c r="D269" t="inlineStr">
        <is>
          <t>Gestalt psychology; a survey of facts and principles, by George W. Hartmann.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Hartmann, George W. (George Wilfried), 1904-1955.</t>
        </is>
      </c>
      <c r="L269" t="inlineStr">
        <is>
          <t>New York, The Ronald press company [c1935]</t>
        </is>
      </c>
      <c r="M269" t="inlineStr">
        <is>
          <t>1935</t>
        </is>
      </c>
      <c r="O269" t="inlineStr">
        <is>
          <t>eng</t>
        </is>
      </c>
      <c r="P269" t="inlineStr">
        <is>
          <t>nyu</t>
        </is>
      </c>
      <c r="Q269" t="inlineStr">
        <is>
          <t>Psychology series</t>
        </is>
      </c>
      <c r="R269" t="inlineStr">
        <is>
          <t xml:space="preserve">BF </t>
        </is>
      </c>
      <c r="S269" t="n">
        <v>5</v>
      </c>
      <c r="T269" t="n">
        <v>5</v>
      </c>
      <c r="U269" t="inlineStr">
        <is>
          <t>2009-03-15</t>
        </is>
      </c>
      <c r="V269" t="inlineStr">
        <is>
          <t>2009-03-15</t>
        </is>
      </c>
      <c r="W269" t="inlineStr">
        <is>
          <t>1996-07-26</t>
        </is>
      </c>
      <c r="X269" t="inlineStr">
        <is>
          <t>1996-07-26</t>
        </is>
      </c>
      <c r="Y269" t="n">
        <v>506</v>
      </c>
      <c r="Z269" t="n">
        <v>433</v>
      </c>
      <c r="AA269" t="n">
        <v>608</v>
      </c>
      <c r="AB269" t="n">
        <v>5</v>
      </c>
      <c r="AC269" t="n">
        <v>6</v>
      </c>
      <c r="AD269" t="n">
        <v>22</v>
      </c>
      <c r="AE269" t="n">
        <v>30</v>
      </c>
      <c r="AF269" t="n">
        <v>7</v>
      </c>
      <c r="AG269" t="n">
        <v>12</v>
      </c>
      <c r="AH269" t="n">
        <v>2</v>
      </c>
      <c r="AI269" t="n">
        <v>4</v>
      </c>
      <c r="AJ269" t="n">
        <v>13</v>
      </c>
      <c r="AK269" t="n">
        <v>15</v>
      </c>
      <c r="AL269" t="n">
        <v>4</v>
      </c>
      <c r="AM269" t="n">
        <v>5</v>
      </c>
      <c r="AN269" t="n">
        <v>0</v>
      </c>
      <c r="AO269" t="n">
        <v>0</v>
      </c>
      <c r="AP269" t="inlineStr">
        <is>
          <t>No</t>
        </is>
      </c>
      <c r="AQ269" t="inlineStr">
        <is>
          <t>No</t>
        </is>
      </c>
      <c r="AS269">
        <f>HYPERLINK("https://creighton-primo.hosted.exlibrisgroup.com/primo-explore/search?tab=default_tab&amp;search_scope=EVERYTHING&amp;vid=01CRU&amp;lang=en_US&amp;offset=0&amp;query=any,contains,991002220479702656","Catalog Record")</f>
        <v/>
      </c>
      <c r="AT269">
        <f>HYPERLINK("http://www.worldcat.org/oclc/289924","WorldCat Record")</f>
        <v/>
      </c>
      <c r="AU269" t="inlineStr">
        <is>
          <t>4095562393:eng</t>
        </is>
      </c>
      <c r="AV269" t="inlineStr">
        <is>
          <t>289924</t>
        </is>
      </c>
      <c r="AW269" t="inlineStr">
        <is>
          <t>991002220479702656</t>
        </is>
      </c>
      <c r="AX269" t="inlineStr">
        <is>
          <t>991002220479702656</t>
        </is>
      </c>
      <c r="AY269" t="inlineStr">
        <is>
          <t>2262148190002656</t>
        </is>
      </c>
      <c r="AZ269" t="inlineStr">
        <is>
          <t>BOOK</t>
        </is>
      </c>
      <c r="BC269" t="inlineStr">
        <is>
          <t>32285002237062</t>
        </is>
      </c>
      <c r="BD269" t="inlineStr">
        <is>
          <t>893262151</t>
        </is>
      </c>
    </row>
    <row r="270">
      <c r="A270" t="inlineStr">
        <is>
          <t>No</t>
        </is>
      </c>
      <c r="B270" t="inlineStr">
        <is>
          <t>BF203 .K6</t>
        </is>
      </c>
      <c r="C270" t="inlineStr">
        <is>
          <t>0                      BF 0203000K  6</t>
        </is>
      </c>
      <c r="D270" t="inlineStr">
        <is>
          <t>Gestalt psychology, by Dr. Wolfgang Köhler.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Köhler, Wolfgang, 1887-1967.</t>
        </is>
      </c>
      <c r="L270" t="inlineStr">
        <is>
          <t>New York, H. Liveright, 1929.</t>
        </is>
      </c>
      <c r="M270" t="inlineStr">
        <is>
          <t>1929</t>
        </is>
      </c>
      <c r="O270" t="inlineStr">
        <is>
          <t>eng</t>
        </is>
      </c>
      <c r="P270" t="inlineStr">
        <is>
          <t>nyu</t>
        </is>
      </c>
      <c r="R270" t="inlineStr">
        <is>
          <t xml:space="preserve">BF </t>
        </is>
      </c>
      <c r="S270" t="n">
        <v>5</v>
      </c>
      <c r="T270" t="n">
        <v>5</v>
      </c>
      <c r="U270" t="inlineStr">
        <is>
          <t>2009-03-15</t>
        </is>
      </c>
      <c r="V270" t="inlineStr">
        <is>
          <t>2009-03-15</t>
        </is>
      </c>
      <c r="W270" t="inlineStr">
        <is>
          <t>1996-07-26</t>
        </is>
      </c>
      <c r="X270" t="inlineStr">
        <is>
          <t>1996-07-26</t>
        </is>
      </c>
      <c r="Y270" t="n">
        <v>495</v>
      </c>
      <c r="Z270" t="n">
        <v>441</v>
      </c>
      <c r="AA270" t="n">
        <v>469</v>
      </c>
      <c r="AB270" t="n">
        <v>6</v>
      </c>
      <c r="AC270" t="n">
        <v>6</v>
      </c>
      <c r="AD270" t="n">
        <v>22</v>
      </c>
      <c r="AE270" t="n">
        <v>22</v>
      </c>
      <c r="AF270" t="n">
        <v>4</v>
      </c>
      <c r="AG270" t="n">
        <v>4</v>
      </c>
      <c r="AH270" t="n">
        <v>4</v>
      </c>
      <c r="AI270" t="n">
        <v>4</v>
      </c>
      <c r="AJ270" t="n">
        <v>12</v>
      </c>
      <c r="AK270" t="n">
        <v>12</v>
      </c>
      <c r="AL270" t="n">
        <v>5</v>
      </c>
      <c r="AM270" t="n">
        <v>5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HYPERLINK("http://catalog.hathitrust.org/Record/000661325","HathiTrust Record")</f>
        <v/>
      </c>
      <c r="AS270">
        <f>HYPERLINK("https://creighton-primo.hosted.exlibrisgroup.com/primo-explore/search?tab=default_tab&amp;search_scope=EVERYTHING&amp;vid=01CRU&amp;lang=en_US&amp;offset=0&amp;query=any,contains,991002217449702656","Catalog Record")</f>
        <v/>
      </c>
      <c r="AT270">
        <f>HYPERLINK("http://www.worldcat.org/oclc/289161","WorldCat Record")</f>
        <v/>
      </c>
      <c r="AU270" t="inlineStr">
        <is>
          <t>3943390878:eng</t>
        </is>
      </c>
      <c r="AV270" t="inlineStr">
        <is>
          <t>289161</t>
        </is>
      </c>
      <c r="AW270" t="inlineStr">
        <is>
          <t>991002217449702656</t>
        </is>
      </c>
      <c r="AX270" t="inlineStr">
        <is>
          <t>991002217449702656</t>
        </is>
      </c>
      <c r="AY270" t="inlineStr">
        <is>
          <t>2261911000002656</t>
        </is>
      </c>
      <c r="AZ270" t="inlineStr">
        <is>
          <t>BOOK</t>
        </is>
      </c>
      <c r="BC270" t="inlineStr">
        <is>
          <t>32285002237096</t>
        </is>
      </c>
      <c r="BD270" t="inlineStr">
        <is>
          <t>893347247</t>
        </is>
      </c>
    </row>
    <row r="271">
      <c r="A271" t="inlineStr">
        <is>
          <t>No</t>
        </is>
      </c>
      <c r="B271" t="inlineStr">
        <is>
          <t>BF204 .C48</t>
        </is>
      </c>
      <c r="C271" t="inlineStr">
        <is>
          <t>0                      BF 0204000C  48</t>
        </is>
      </c>
      <c r="D271" t="inlineStr">
        <is>
          <t>Humanistic psychology and the research tradition : their several virtues / [by] Irvin L. Child.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Child, Irvin L. (Irvin Long), 1915-2000.</t>
        </is>
      </c>
      <c r="L271" t="inlineStr">
        <is>
          <t>New York : Wiley, [1973]</t>
        </is>
      </c>
      <c r="M271" t="inlineStr">
        <is>
          <t>1973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BF </t>
        </is>
      </c>
      <c r="S271" t="n">
        <v>2</v>
      </c>
      <c r="T271" t="n">
        <v>2</v>
      </c>
      <c r="U271" t="inlineStr">
        <is>
          <t>1996-11-10</t>
        </is>
      </c>
      <c r="V271" t="inlineStr">
        <is>
          <t>1996-11-10</t>
        </is>
      </c>
      <c r="W271" t="inlineStr">
        <is>
          <t>1990-02-16</t>
        </is>
      </c>
      <c r="X271" t="inlineStr">
        <is>
          <t>1990-02-16</t>
        </is>
      </c>
      <c r="Y271" t="n">
        <v>811</v>
      </c>
      <c r="Z271" t="n">
        <v>666</v>
      </c>
      <c r="AA271" t="n">
        <v>674</v>
      </c>
      <c r="AB271" t="n">
        <v>9</v>
      </c>
      <c r="AC271" t="n">
        <v>9</v>
      </c>
      <c r="AD271" t="n">
        <v>29</v>
      </c>
      <c r="AE271" t="n">
        <v>29</v>
      </c>
      <c r="AF271" t="n">
        <v>13</v>
      </c>
      <c r="AG271" t="n">
        <v>13</v>
      </c>
      <c r="AH271" t="n">
        <v>5</v>
      </c>
      <c r="AI271" t="n">
        <v>5</v>
      </c>
      <c r="AJ271" t="n">
        <v>12</v>
      </c>
      <c r="AK271" t="n">
        <v>12</v>
      </c>
      <c r="AL271" t="n">
        <v>7</v>
      </c>
      <c r="AM271" t="n">
        <v>7</v>
      </c>
      <c r="AN271" t="n">
        <v>0</v>
      </c>
      <c r="AO271" t="n">
        <v>0</v>
      </c>
      <c r="AP271" t="inlineStr">
        <is>
          <t>No</t>
        </is>
      </c>
      <c r="AQ271" t="inlineStr">
        <is>
          <t>Yes</t>
        </is>
      </c>
      <c r="AR271">
        <f>HYPERLINK("http://catalog.hathitrust.org/Record/000386576","HathiTrust Record")</f>
        <v/>
      </c>
      <c r="AS271">
        <f>HYPERLINK("https://creighton-primo.hosted.exlibrisgroup.com/primo-explore/search?tab=default_tab&amp;search_scope=EVERYTHING&amp;vid=01CRU&amp;lang=en_US&amp;offset=0&amp;query=any,contains,991002655719702656","Catalog Record")</f>
        <v/>
      </c>
      <c r="AT271">
        <f>HYPERLINK("http://www.worldcat.org/oclc/388654","WorldCat Record")</f>
        <v/>
      </c>
      <c r="AU271" t="inlineStr">
        <is>
          <t>1517743:eng</t>
        </is>
      </c>
      <c r="AV271" t="inlineStr">
        <is>
          <t>388654</t>
        </is>
      </c>
      <c r="AW271" t="inlineStr">
        <is>
          <t>991002655719702656</t>
        </is>
      </c>
      <c r="AX271" t="inlineStr">
        <is>
          <t>991002655719702656</t>
        </is>
      </c>
      <c r="AY271" t="inlineStr">
        <is>
          <t>2254951590002656</t>
        </is>
      </c>
      <c r="AZ271" t="inlineStr">
        <is>
          <t>BOOK</t>
        </is>
      </c>
      <c r="BB271" t="inlineStr">
        <is>
          <t>9780471155706</t>
        </is>
      </c>
      <c r="BC271" t="inlineStr">
        <is>
          <t>32285000009588</t>
        </is>
      </c>
      <c r="BD271" t="inlineStr">
        <is>
          <t>893873797</t>
        </is>
      </c>
    </row>
    <row r="272">
      <c r="A272" t="inlineStr">
        <is>
          <t>No</t>
        </is>
      </c>
      <c r="B272" t="inlineStr">
        <is>
          <t>BF204 .H85 1976</t>
        </is>
      </c>
      <c r="C272" t="inlineStr">
        <is>
          <t>0                      BF 0204000H  85          1976</t>
        </is>
      </c>
      <c r="D272" t="inlineStr">
        <is>
          <t>Humanism and behaviorism : dialogue and growth / edited by Abraham Wandersman, Paul J. Poppen, David F. Ricks.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Oxford ; New York : Pergamon Press, 1976.</t>
        </is>
      </c>
      <c r="M272" t="inlineStr">
        <is>
          <t>1976</t>
        </is>
      </c>
      <c r="N272" t="inlineStr">
        <is>
          <t>1st ed.</t>
        </is>
      </c>
      <c r="O272" t="inlineStr">
        <is>
          <t>eng</t>
        </is>
      </c>
      <c r="P272" t="inlineStr">
        <is>
          <t>nyu</t>
        </is>
      </c>
      <c r="Q272" t="inlineStr">
        <is>
          <t>Pergamon general psychology series ; PGPS-62</t>
        </is>
      </c>
      <c r="R272" t="inlineStr">
        <is>
          <t xml:space="preserve">BF </t>
        </is>
      </c>
      <c r="S272" t="n">
        <v>3</v>
      </c>
      <c r="T272" t="n">
        <v>3</v>
      </c>
      <c r="U272" t="inlineStr">
        <is>
          <t>1995-10-28</t>
        </is>
      </c>
      <c r="V272" t="inlineStr">
        <is>
          <t>1995-10-28</t>
        </is>
      </c>
      <c r="W272" t="inlineStr">
        <is>
          <t>1990-02-26</t>
        </is>
      </c>
      <c r="X272" t="inlineStr">
        <is>
          <t>1990-02-26</t>
        </is>
      </c>
      <c r="Y272" t="n">
        <v>554</v>
      </c>
      <c r="Z272" t="n">
        <v>432</v>
      </c>
      <c r="AA272" t="n">
        <v>471</v>
      </c>
      <c r="AB272" t="n">
        <v>4</v>
      </c>
      <c r="AC272" t="n">
        <v>5</v>
      </c>
      <c r="AD272" t="n">
        <v>27</v>
      </c>
      <c r="AE272" t="n">
        <v>29</v>
      </c>
      <c r="AF272" t="n">
        <v>11</v>
      </c>
      <c r="AG272" t="n">
        <v>12</v>
      </c>
      <c r="AH272" t="n">
        <v>7</v>
      </c>
      <c r="AI272" t="n">
        <v>7</v>
      </c>
      <c r="AJ272" t="n">
        <v>15</v>
      </c>
      <c r="AK272" t="n">
        <v>15</v>
      </c>
      <c r="AL272" t="n">
        <v>3</v>
      </c>
      <c r="AM272" t="n">
        <v>4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HYPERLINK("http://catalog.hathitrust.org/Record/003474278","HathiTrust Record")</f>
        <v/>
      </c>
      <c r="AS272">
        <f>HYPERLINK("https://creighton-primo.hosted.exlibrisgroup.com/primo-explore/search?tab=default_tab&amp;search_scope=EVERYTHING&amp;vid=01CRU&amp;lang=en_US&amp;offset=0&amp;query=any,contains,991004173979702656","Catalog Record")</f>
        <v/>
      </c>
      <c r="AT272">
        <f>HYPERLINK("http://www.worldcat.org/oclc/2591701","WorldCat Record")</f>
        <v/>
      </c>
      <c r="AU272" t="inlineStr">
        <is>
          <t>318864618:eng</t>
        </is>
      </c>
      <c r="AV272" t="inlineStr">
        <is>
          <t>2591701</t>
        </is>
      </c>
      <c r="AW272" t="inlineStr">
        <is>
          <t>991004173979702656</t>
        </is>
      </c>
      <c r="AX272" t="inlineStr">
        <is>
          <t>991004173979702656</t>
        </is>
      </c>
      <c r="AY272" t="inlineStr">
        <is>
          <t>2259809010002656</t>
        </is>
      </c>
      <c r="AZ272" t="inlineStr">
        <is>
          <t>BOOK</t>
        </is>
      </c>
      <c r="BB272" t="inlineStr">
        <is>
          <t>9780080195896</t>
        </is>
      </c>
      <c r="BC272" t="inlineStr">
        <is>
          <t>32285000062470</t>
        </is>
      </c>
      <c r="BD272" t="inlineStr">
        <is>
          <t>893875769</t>
        </is>
      </c>
    </row>
    <row r="273">
      <c r="A273" t="inlineStr">
        <is>
          <t>No</t>
        </is>
      </c>
      <c r="B273" t="inlineStr">
        <is>
          <t>BF204 .T33 1982</t>
        </is>
      </c>
      <c r="C273" t="inlineStr">
        <is>
          <t>0                      BF 0204000T  33          1982</t>
        </is>
      </c>
      <c r="D273" t="inlineStr">
        <is>
          <t>Humanistic psychology : a synthesis / C. William Tageson.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Tageson, C. William.</t>
        </is>
      </c>
      <c r="L273" t="inlineStr">
        <is>
          <t>Homewood, Ill. : Dorsey Press, 1982.</t>
        </is>
      </c>
      <c r="M273" t="inlineStr">
        <is>
          <t>1982</t>
        </is>
      </c>
      <c r="O273" t="inlineStr">
        <is>
          <t>eng</t>
        </is>
      </c>
      <c r="P273" t="inlineStr">
        <is>
          <t>ilu</t>
        </is>
      </c>
      <c r="R273" t="inlineStr">
        <is>
          <t xml:space="preserve">BF </t>
        </is>
      </c>
      <c r="S273" t="n">
        <v>3</v>
      </c>
      <c r="T273" t="n">
        <v>3</v>
      </c>
      <c r="U273" t="inlineStr">
        <is>
          <t>1998-11-07</t>
        </is>
      </c>
      <c r="V273" t="inlineStr">
        <is>
          <t>1998-11-07</t>
        </is>
      </c>
      <c r="W273" t="inlineStr">
        <is>
          <t>1991-07-16</t>
        </is>
      </c>
      <c r="X273" t="inlineStr">
        <is>
          <t>1991-07-16</t>
        </is>
      </c>
      <c r="Y273" t="n">
        <v>333</v>
      </c>
      <c r="Z273" t="n">
        <v>259</v>
      </c>
      <c r="AA273" t="n">
        <v>260</v>
      </c>
      <c r="AB273" t="n">
        <v>4</v>
      </c>
      <c r="AC273" t="n">
        <v>4</v>
      </c>
      <c r="AD273" t="n">
        <v>16</v>
      </c>
      <c r="AE273" t="n">
        <v>16</v>
      </c>
      <c r="AF273" t="n">
        <v>6</v>
      </c>
      <c r="AG273" t="n">
        <v>6</v>
      </c>
      <c r="AH273" t="n">
        <v>4</v>
      </c>
      <c r="AI273" t="n">
        <v>4</v>
      </c>
      <c r="AJ273" t="n">
        <v>9</v>
      </c>
      <c r="AK273" t="n">
        <v>9</v>
      </c>
      <c r="AL273" t="n">
        <v>3</v>
      </c>
      <c r="AM273" t="n">
        <v>3</v>
      </c>
      <c r="AN273" t="n">
        <v>0</v>
      </c>
      <c r="AO273" t="n">
        <v>0</v>
      </c>
      <c r="AP273" t="inlineStr">
        <is>
          <t>No</t>
        </is>
      </c>
      <c r="AQ273" t="inlineStr">
        <is>
          <t>Yes</t>
        </is>
      </c>
      <c r="AR273">
        <f>HYPERLINK("http://catalog.hathitrust.org/Record/000153729","HathiTrust Record")</f>
        <v/>
      </c>
      <c r="AS273">
        <f>HYPERLINK("https://creighton-primo.hosted.exlibrisgroup.com/primo-explore/search?tab=default_tab&amp;search_scope=EVERYTHING&amp;vid=01CRU&amp;lang=en_US&amp;offset=0&amp;query=any,contains,991000016719702656","Catalog Record")</f>
        <v/>
      </c>
      <c r="AT273">
        <f>HYPERLINK("http://www.worldcat.org/oclc/8553122","WorldCat Record")</f>
        <v/>
      </c>
      <c r="AU273" t="inlineStr">
        <is>
          <t>890077996:eng</t>
        </is>
      </c>
      <c r="AV273" t="inlineStr">
        <is>
          <t>8553122</t>
        </is>
      </c>
      <c r="AW273" t="inlineStr">
        <is>
          <t>991000016719702656</t>
        </is>
      </c>
      <c r="AX273" t="inlineStr">
        <is>
          <t>991000016719702656</t>
        </is>
      </c>
      <c r="AY273" t="inlineStr">
        <is>
          <t>2258850590002656</t>
        </is>
      </c>
      <c r="AZ273" t="inlineStr">
        <is>
          <t>BOOK</t>
        </is>
      </c>
      <c r="BB273" t="inlineStr">
        <is>
          <t>9780256027426</t>
        </is>
      </c>
      <c r="BC273" t="inlineStr">
        <is>
          <t>32285000675693</t>
        </is>
      </c>
      <c r="BD273" t="inlineStr">
        <is>
          <t>893871325</t>
        </is>
      </c>
    </row>
    <row r="274">
      <c r="A274" t="inlineStr">
        <is>
          <t>No</t>
        </is>
      </c>
      <c r="B274" t="inlineStr">
        <is>
          <t>BF204.5 .H8713</t>
        </is>
      </c>
      <c r="C274" t="inlineStr">
        <is>
          <t>0                      BF 0204500H  8713</t>
        </is>
      </c>
      <c r="D274" t="inlineStr">
        <is>
          <t>Phenomenological psychology : lectures, summer semester, 1925 / Edmund Husserl ; translated by John Scanlon. --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Husserl, Edmund, 1859-1938.</t>
        </is>
      </c>
      <c r="L274" t="inlineStr">
        <is>
          <t>The Hague : Nijhoff, 1977.</t>
        </is>
      </c>
      <c r="M274" t="inlineStr">
        <is>
          <t>1977</t>
        </is>
      </c>
      <c r="O274" t="inlineStr">
        <is>
          <t>eng</t>
        </is>
      </c>
      <c r="P274" t="inlineStr">
        <is>
          <t xml:space="preserve">ne </t>
        </is>
      </c>
      <c r="R274" t="inlineStr">
        <is>
          <t xml:space="preserve">BF </t>
        </is>
      </c>
      <c r="S274" t="n">
        <v>2</v>
      </c>
      <c r="T274" t="n">
        <v>2</v>
      </c>
      <c r="U274" t="inlineStr">
        <is>
          <t>1997-12-19</t>
        </is>
      </c>
      <c r="V274" t="inlineStr">
        <is>
          <t>1997-12-19</t>
        </is>
      </c>
      <c r="W274" t="inlineStr">
        <is>
          <t>1991-05-01</t>
        </is>
      </c>
      <c r="X274" t="inlineStr">
        <is>
          <t>1991-05-01</t>
        </is>
      </c>
      <c r="Y274" t="n">
        <v>289</v>
      </c>
      <c r="Z274" t="n">
        <v>198</v>
      </c>
      <c r="AA274" t="n">
        <v>208</v>
      </c>
      <c r="AB274" t="n">
        <v>2</v>
      </c>
      <c r="AC274" t="n">
        <v>2</v>
      </c>
      <c r="AD274" t="n">
        <v>19</v>
      </c>
      <c r="AE274" t="n">
        <v>20</v>
      </c>
      <c r="AF274" t="n">
        <v>3</v>
      </c>
      <c r="AG274" t="n">
        <v>4</v>
      </c>
      <c r="AH274" t="n">
        <v>7</v>
      </c>
      <c r="AI274" t="n">
        <v>7</v>
      </c>
      <c r="AJ274" t="n">
        <v>14</v>
      </c>
      <c r="AK274" t="n">
        <v>15</v>
      </c>
      <c r="AL274" t="n">
        <v>1</v>
      </c>
      <c r="AM274" t="n">
        <v>1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HYPERLINK("http://catalog.hathitrust.org/Record/007114717","HathiTrust Record")</f>
        <v/>
      </c>
      <c r="AS274">
        <f>HYPERLINK("https://creighton-primo.hosted.exlibrisgroup.com/primo-explore/search?tab=default_tab&amp;search_scope=EVERYTHING&amp;vid=01CRU&amp;lang=en_US&amp;offset=0&amp;query=any,contains,991004513479702656","Catalog Record")</f>
        <v/>
      </c>
      <c r="AT274">
        <f>HYPERLINK("http://www.worldcat.org/oclc/3773479","WorldCat Record")</f>
        <v/>
      </c>
      <c r="AU274" t="inlineStr">
        <is>
          <t>2900987433:eng</t>
        </is>
      </c>
      <c r="AV274" t="inlineStr">
        <is>
          <t>3773479</t>
        </is>
      </c>
      <c r="AW274" t="inlineStr">
        <is>
          <t>991004513479702656</t>
        </is>
      </c>
      <c r="AX274" t="inlineStr">
        <is>
          <t>991004513479702656</t>
        </is>
      </c>
      <c r="AY274" t="inlineStr">
        <is>
          <t>2261860380002656</t>
        </is>
      </c>
      <c r="AZ274" t="inlineStr">
        <is>
          <t>BOOK</t>
        </is>
      </c>
      <c r="BB274" t="inlineStr">
        <is>
          <t>9789024719785</t>
        </is>
      </c>
      <c r="BC274" t="inlineStr">
        <is>
          <t>32285000589647</t>
        </is>
      </c>
      <c r="BD274" t="inlineStr">
        <is>
          <t>893706512</t>
        </is>
      </c>
    </row>
    <row r="275">
      <c r="A275" t="inlineStr">
        <is>
          <t>No</t>
        </is>
      </c>
      <c r="B275" t="inlineStr">
        <is>
          <t>BF204.5 .L4 1985</t>
        </is>
      </c>
      <c r="C275" t="inlineStr">
        <is>
          <t>0                      BF 0204500L  4           1985</t>
        </is>
      </c>
      <c r="D275" t="inlineStr">
        <is>
          <t>The body's recollection of being : phenomenological psychology and the deconstruction of nihilism / David Michael Levin.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Kleinberg-Levin, David Michael, 1939-</t>
        </is>
      </c>
      <c r="L275" t="inlineStr">
        <is>
          <t>London ; Boston : Routledge &amp; Kegan Paul, 1985.</t>
        </is>
      </c>
      <c r="M275" t="inlineStr">
        <is>
          <t>1985</t>
        </is>
      </c>
      <c r="O275" t="inlineStr">
        <is>
          <t>eng</t>
        </is>
      </c>
      <c r="P275" t="inlineStr">
        <is>
          <t>enk</t>
        </is>
      </c>
      <c r="R275" t="inlineStr">
        <is>
          <t xml:space="preserve">BF </t>
        </is>
      </c>
      <c r="S275" t="n">
        <v>3</v>
      </c>
      <c r="T275" t="n">
        <v>3</v>
      </c>
      <c r="U275" t="inlineStr">
        <is>
          <t>2000-08-23</t>
        </is>
      </c>
      <c r="V275" t="inlineStr">
        <is>
          <t>2000-08-23</t>
        </is>
      </c>
      <c r="W275" t="inlineStr">
        <is>
          <t>1991-08-09</t>
        </is>
      </c>
      <c r="X275" t="inlineStr">
        <is>
          <t>1991-08-09</t>
        </is>
      </c>
      <c r="Y275" t="n">
        <v>411</v>
      </c>
      <c r="Z275" t="n">
        <v>290</v>
      </c>
      <c r="AA275" t="n">
        <v>324</v>
      </c>
      <c r="AB275" t="n">
        <v>2</v>
      </c>
      <c r="AC275" t="n">
        <v>2</v>
      </c>
      <c r="AD275" t="n">
        <v>20</v>
      </c>
      <c r="AE275" t="n">
        <v>22</v>
      </c>
      <c r="AF275" t="n">
        <v>5</v>
      </c>
      <c r="AG275" t="n">
        <v>6</v>
      </c>
      <c r="AH275" t="n">
        <v>7</v>
      </c>
      <c r="AI275" t="n">
        <v>8</v>
      </c>
      <c r="AJ275" t="n">
        <v>15</v>
      </c>
      <c r="AK275" t="n">
        <v>15</v>
      </c>
      <c r="AL275" t="n">
        <v>1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HYPERLINK("https://creighton-primo.hosted.exlibrisgroup.com/primo-explore/search?tab=default_tab&amp;search_scope=EVERYTHING&amp;vid=01CRU&amp;lang=en_US&amp;offset=0&amp;query=any,contains,991000491159702656","Catalog Record")</f>
        <v/>
      </c>
      <c r="AT275">
        <f>HYPERLINK("http://www.worldcat.org/oclc/11112590","WorldCat Record")</f>
        <v/>
      </c>
      <c r="AU275" t="inlineStr">
        <is>
          <t>836676091:eng</t>
        </is>
      </c>
      <c r="AV275" t="inlineStr">
        <is>
          <t>11112590</t>
        </is>
      </c>
      <c r="AW275" t="inlineStr">
        <is>
          <t>991000491159702656</t>
        </is>
      </c>
      <c r="AX275" t="inlineStr">
        <is>
          <t>991000491159702656</t>
        </is>
      </c>
      <c r="AY275" t="inlineStr">
        <is>
          <t>2257658270002656</t>
        </is>
      </c>
      <c r="AZ275" t="inlineStr">
        <is>
          <t>BOOK</t>
        </is>
      </c>
      <c r="BB275" t="inlineStr">
        <is>
          <t>9780710204783</t>
        </is>
      </c>
      <c r="BC275" t="inlineStr">
        <is>
          <t>32285000681006</t>
        </is>
      </c>
      <c r="BD275" t="inlineStr">
        <is>
          <t>893784257</t>
        </is>
      </c>
    </row>
    <row r="276">
      <c r="A276" t="inlineStr">
        <is>
          <t>No</t>
        </is>
      </c>
      <c r="B276" t="inlineStr">
        <is>
          <t>BF204.5 .M247 1983</t>
        </is>
      </c>
      <c r="C276" t="inlineStr">
        <is>
          <t>0                      BF 0204500M  247         1983</t>
        </is>
      </c>
      <c r="D276" t="inlineStr">
        <is>
          <t>The discovery of being : writings in existential psychology / Rollo May.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May, Rollo.</t>
        </is>
      </c>
      <c r="L276" t="inlineStr">
        <is>
          <t>New York : Norton, c1983.</t>
        </is>
      </c>
      <c r="M276" t="inlineStr">
        <is>
          <t>1983</t>
        </is>
      </c>
      <c r="N276" t="inlineStr">
        <is>
          <t>1st ed.</t>
        </is>
      </c>
      <c r="O276" t="inlineStr">
        <is>
          <t>eng</t>
        </is>
      </c>
      <c r="P276" t="inlineStr">
        <is>
          <t>nyu</t>
        </is>
      </c>
      <c r="R276" t="inlineStr">
        <is>
          <t xml:space="preserve">BF </t>
        </is>
      </c>
      <c r="S276" t="n">
        <v>3</v>
      </c>
      <c r="T276" t="n">
        <v>3</v>
      </c>
      <c r="U276" t="inlineStr">
        <is>
          <t>1996-10-31</t>
        </is>
      </c>
      <c r="V276" t="inlineStr">
        <is>
          <t>1996-10-31</t>
        </is>
      </c>
      <c r="W276" t="inlineStr">
        <is>
          <t>1990-05-17</t>
        </is>
      </c>
      <c r="X276" t="inlineStr">
        <is>
          <t>1990-05-17</t>
        </is>
      </c>
      <c r="Y276" t="n">
        <v>1348</v>
      </c>
      <c r="Z276" t="n">
        <v>1227</v>
      </c>
      <c r="AA276" t="n">
        <v>1433</v>
      </c>
      <c r="AB276" t="n">
        <v>10</v>
      </c>
      <c r="AC276" t="n">
        <v>12</v>
      </c>
      <c r="AD276" t="n">
        <v>44</v>
      </c>
      <c r="AE276" t="n">
        <v>49</v>
      </c>
      <c r="AF276" t="n">
        <v>19</v>
      </c>
      <c r="AG276" t="n">
        <v>20</v>
      </c>
      <c r="AH276" t="n">
        <v>8</v>
      </c>
      <c r="AI276" t="n">
        <v>9</v>
      </c>
      <c r="AJ276" t="n">
        <v>22</v>
      </c>
      <c r="AK276" t="n">
        <v>24</v>
      </c>
      <c r="AL276" t="n">
        <v>7</v>
      </c>
      <c r="AM276" t="n">
        <v>9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HYPERLINK("https://creighton-primo.hosted.exlibrisgroup.com/primo-explore/search?tab=default_tab&amp;search_scope=EVERYTHING&amp;vid=01CRU&amp;lang=en_US&amp;offset=0&amp;query=any,contains,991000191359702656","Catalog Record")</f>
        <v/>
      </c>
      <c r="AT276">
        <f>HYPERLINK("http://www.worldcat.org/oclc/9413047","WorldCat Record")</f>
        <v/>
      </c>
      <c r="AU276" t="inlineStr">
        <is>
          <t>13884542:eng</t>
        </is>
      </c>
      <c r="AV276" t="inlineStr">
        <is>
          <t>9413047</t>
        </is>
      </c>
      <c r="AW276" t="inlineStr">
        <is>
          <t>991000191359702656</t>
        </is>
      </c>
      <c r="AX276" t="inlineStr">
        <is>
          <t>991000191359702656</t>
        </is>
      </c>
      <c r="AY276" t="inlineStr">
        <is>
          <t>2263909320002656</t>
        </is>
      </c>
      <c r="AZ276" t="inlineStr">
        <is>
          <t>BOOK</t>
        </is>
      </c>
      <c r="BB276" t="inlineStr">
        <is>
          <t>9780393017908</t>
        </is>
      </c>
      <c r="BC276" t="inlineStr">
        <is>
          <t>32285000152230</t>
        </is>
      </c>
      <c r="BD276" t="inlineStr">
        <is>
          <t>893351459</t>
        </is>
      </c>
    </row>
    <row r="277">
      <c r="A277" t="inlineStr">
        <is>
          <t>No</t>
        </is>
      </c>
      <c r="B277" t="inlineStr">
        <is>
          <t>BF204.5 .O84</t>
        </is>
      </c>
      <c r="C277" t="inlineStr">
        <is>
          <t>0                      BF 0204500O  84</t>
        </is>
      </c>
      <c r="D277" t="inlineStr">
        <is>
          <t>Phenomenology and intersubjectivity; contemporary interpretations of the interpersonal situation. By Thomas J. Owens.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Owens, Thomas J.</t>
        </is>
      </c>
      <c r="L277" t="inlineStr">
        <is>
          <t>The Hague, Nijhoff, 1970 [1971]</t>
        </is>
      </c>
      <c r="M277" t="inlineStr">
        <is>
          <t>1971</t>
        </is>
      </c>
      <c r="O277" t="inlineStr">
        <is>
          <t>eng</t>
        </is>
      </c>
      <c r="P277" t="inlineStr">
        <is>
          <t xml:space="preserve">ne </t>
        </is>
      </c>
      <c r="R277" t="inlineStr">
        <is>
          <t xml:space="preserve">BF </t>
        </is>
      </c>
      <c r="S277" t="n">
        <v>1</v>
      </c>
      <c r="T277" t="n">
        <v>1</v>
      </c>
      <c r="U277" t="inlineStr">
        <is>
          <t>2004-09-22</t>
        </is>
      </c>
      <c r="V277" t="inlineStr">
        <is>
          <t>2004-09-22</t>
        </is>
      </c>
      <c r="W277" t="inlineStr">
        <is>
          <t>1996-07-26</t>
        </is>
      </c>
      <c r="X277" t="inlineStr">
        <is>
          <t>1996-07-26</t>
        </is>
      </c>
      <c r="Y277" t="n">
        <v>220</v>
      </c>
      <c r="Z277" t="n">
        <v>177</v>
      </c>
      <c r="AA277" t="n">
        <v>190</v>
      </c>
      <c r="AB277" t="n">
        <v>1</v>
      </c>
      <c r="AC277" t="n">
        <v>1</v>
      </c>
      <c r="AD277" t="n">
        <v>18</v>
      </c>
      <c r="AE277" t="n">
        <v>19</v>
      </c>
      <c r="AF277" t="n">
        <v>7</v>
      </c>
      <c r="AG277" t="n">
        <v>8</v>
      </c>
      <c r="AH277" t="n">
        <v>5</v>
      </c>
      <c r="AI277" t="n">
        <v>5</v>
      </c>
      <c r="AJ277" t="n">
        <v>14</v>
      </c>
      <c r="AK277" t="n">
        <v>15</v>
      </c>
      <c r="AL277" t="n">
        <v>0</v>
      </c>
      <c r="AM277" t="n">
        <v>0</v>
      </c>
      <c r="AN277" t="n">
        <v>0</v>
      </c>
      <c r="AO277" t="n">
        <v>0</v>
      </c>
      <c r="AP277" t="inlineStr">
        <is>
          <t>No</t>
        </is>
      </c>
      <c r="AQ277" t="inlineStr">
        <is>
          <t>No</t>
        </is>
      </c>
      <c r="AS277">
        <f>HYPERLINK("https://creighton-primo.hosted.exlibrisgroup.com/primo-explore/search?tab=default_tab&amp;search_scope=EVERYTHING&amp;vid=01CRU&amp;lang=en_US&amp;offset=0&amp;query=any,contains,991000935859702656","Catalog Record")</f>
        <v/>
      </c>
      <c r="AT277">
        <f>HYPERLINK("http://www.worldcat.org/oclc/164735","WorldCat Record")</f>
        <v/>
      </c>
      <c r="AU277" t="inlineStr">
        <is>
          <t>197540274:eng</t>
        </is>
      </c>
      <c r="AV277" t="inlineStr">
        <is>
          <t>164735</t>
        </is>
      </c>
      <c r="AW277" t="inlineStr">
        <is>
          <t>991000935859702656</t>
        </is>
      </c>
      <c r="AX277" t="inlineStr">
        <is>
          <t>991000935859702656</t>
        </is>
      </c>
      <c r="AY277" t="inlineStr">
        <is>
          <t>2269898610002656</t>
        </is>
      </c>
      <c r="AZ277" t="inlineStr">
        <is>
          <t>BOOK</t>
        </is>
      </c>
      <c r="BB277" t="inlineStr">
        <is>
          <t>9789024750238</t>
        </is>
      </c>
      <c r="BC277" t="inlineStr">
        <is>
          <t>32285002237187</t>
        </is>
      </c>
      <c r="BD277" t="inlineStr">
        <is>
          <t>893225457</t>
        </is>
      </c>
    </row>
    <row r="278">
      <c r="A278" t="inlineStr">
        <is>
          <t>No</t>
        </is>
      </c>
      <c r="B278" t="inlineStr">
        <is>
          <t>BF204.5 .S7 1980</t>
        </is>
      </c>
      <c r="C278" t="inlineStr">
        <is>
          <t>0                      BF 0204500S  7           1980</t>
        </is>
      </c>
      <c r="D278" t="inlineStr">
        <is>
          <t>Phenomenological psychology / Erwin W. Straus.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Straus, Erwin W. (Erwin Walter), 1891-1975.</t>
        </is>
      </c>
      <c r="L278" t="inlineStr">
        <is>
          <t>New York : Garland Pub., 1980.</t>
        </is>
      </c>
      <c r="M278" t="inlineStr">
        <is>
          <t>1980</t>
        </is>
      </c>
      <c r="O278" t="inlineStr">
        <is>
          <t>eng</t>
        </is>
      </c>
      <c r="P278" t="inlineStr">
        <is>
          <t>nyu</t>
        </is>
      </c>
      <c r="Q278" t="inlineStr">
        <is>
          <t>Phenomenology, background, foreground, &amp; influences ; 15</t>
        </is>
      </c>
      <c r="R278" t="inlineStr">
        <is>
          <t xml:space="preserve">BF </t>
        </is>
      </c>
      <c r="S278" t="n">
        <v>1</v>
      </c>
      <c r="T278" t="n">
        <v>1</v>
      </c>
      <c r="U278" t="inlineStr">
        <is>
          <t>2004-09-22</t>
        </is>
      </c>
      <c r="V278" t="inlineStr">
        <is>
          <t>2004-09-22</t>
        </is>
      </c>
      <c r="W278" t="inlineStr">
        <is>
          <t>1991-05-01</t>
        </is>
      </c>
      <c r="X278" t="inlineStr">
        <is>
          <t>1991-05-01</t>
        </is>
      </c>
      <c r="Y278" t="n">
        <v>65</v>
      </c>
      <c r="Z278" t="n">
        <v>56</v>
      </c>
      <c r="AA278" t="n">
        <v>64</v>
      </c>
      <c r="AB278" t="n">
        <v>2</v>
      </c>
      <c r="AC278" t="n">
        <v>2</v>
      </c>
      <c r="AD278" t="n">
        <v>7</v>
      </c>
      <c r="AE278" t="n">
        <v>7</v>
      </c>
      <c r="AF278" t="n">
        <v>3</v>
      </c>
      <c r="AG278" t="n">
        <v>3</v>
      </c>
      <c r="AH278" t="n">
        <v>2</v>
      </c>
      <c r="AI278" t="n">
        <v>2</v>
      </c>
      <c r="AJ278" t="n">
        <v>5</v>
      </c>
      <c r="AK278" t="n">
        <v>5</v>
      </c>
      <c r="AL278" t="n">
        <v>1</v>
      </c>
      <c r="AM278" t="n">
        <v>1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HYPERLINK("http://catalog.hathitrust.org/Record/000693588","HathiTrust Record")</f>
        <v/>
      </c>
      <c r="AS278">
        <f>HYPERLINK("https://creighton-primo.hosted.exlibrisgroup.com/primo-explore/search?tab=default_tab&amp;search_scope=EVERYTHING&amp;vid=01CRU&amp;lang=en_US&amp;offset=0&amp;query=any,contains,991004952229702656","Catalog Record")</f>
        <v/>
      </c>
      <c r="AT278">
        <f>HYPERLINK("http://www.worldcat.org/oclc/6251228","WorldCat Record")</f>
        <v/>
      </c>
      <c r="AU278" t="inlineStr">
        <is>
          <t>9438030755:eng</t>
        </is>
      </c>
      <c r="AV278" t="inlineStr">
        <is>
          <t>6251228</t>
        </is>
      </c>
      <c r="AW278" t="inlineStr">
        <is>
          <t>991004952229702656</t>
        </is>
      </c>
      <c r="AX278" t="inlineStr">
        <is>
          <t>991004952229702656</t>
        </is>
      </c>
      <c r="AY278" t="inlineStr">
        <is>
          <t>2262839130002656</t>
        </is>
      </c>
      <c r="AZ278" t="inlineStr">
        <is>
          <t>BOOK</t>
        </is>
      </c>
      <c r="BB278" t="inlineStr">
        <is>
          <t>9780824095550</t>
        </is>
      </c>
      <c r="BC278" t="inlineStr">
        <is>
          <t>32285000589670</t>
        </is>
      </c>
      <c r="BD278" t="inlineStr">
        <is>
          <t>893248145</t>
        </is>
      </c>
    </row>
    <row r="279">
      <c r="A279" t="inlineStr">
        <is>
          <t>No</t>
        </is>
      </c>
      <c r="B279" t="inlineStr">
        <is>
          <t>BF204.B4 T6</t>
        </is>
      </c>
      <c r="C279" t="inlineStr">
        <is>
          <t>0                      BF 0204000B  4                  T  6</t>
        </is>
      </c>
      <c r="D279" t="inlineStr">
        <is>
          <t>An evaluation of the Bender-gestalt test, by Alexander Tolor and Herbert C. Schulberg. With a foreword by Lauretta Bender.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Tolor, Alexander.</t>
        </is>
      </c>
      <c r="L279" t="inlineStr">
        <is>
          <t>Springfield, Ill., Thomas [c1963]</t>
        </is>
      </c>
      <c r="M279" t="inlineStr">
        <is>
          <t>1963</t>
        </is>
      </c>
      <c r="O279" t="inlineStr">
        <is>
          <t>eng</t>
        </is>
      </c>
      <c r="P279" t="inlineStr">
        <is>
          <t>ilu</t>
        </is>
      </c>
      <c r="R279" t="inlineStr">
        <is>
          <t xml:space="preserve">BF </t>
        </is>
      </c>
      <c r="S279" t="n">
        <v>1</v>
      </c>
      <c r="T279" t="n">
        <v>1</v>
      </c>
      <c r="U279" t="inlineStr">
        <is>
          <t>1997-12-08</t>
        </is>
      </c>
      <c r="V279" t="inlineStr">
        <is>
          <t>1997-12-08</t>
        </is>
      </c>
      <c r="W279" t="inlineStr">
        <is>
          <t>1996-07-26</t>
        </is>
      </c>
      <c r="X279" t="inlineStr">
        <is>
          <t>1996-07-26</t>
        </is>
      </c>
      <c r="Y279" t="n">
        <v>274</v>
      </c>
      <c r="Z279" t="n">
        <v>222</v>
      </c>
      <c r="AA279" t="n">
        <v>230</v>
      </c>
      <c r="AB279" t="n">
        <v>3</v>
      </c>
      <c r="AC279" t="n">
        <v>3</v>
      </c>
      <c r="AD279" t="n">
        <v>12</v>
      </c>
      <c r="AE279" t="n">
        <v>13</v>
      </c>
      <c r="AF279" t="n">
        <v>3</v>
      </c>
      <c r="AG279" t="n">
        <v>4</v>
      </c>
      <c r="AH279" t="n">
        <v>3</v>
      </c>
      <c r="AI279" t="n">
        <v>3</v>
      </c>
      <c r="AJ279" t="n">
        <v>7</v>
      </c>
      <c r="AK279" t="n">
        <v>7</v>
      </c>
      <c r="AL279" t="n">
        <v>2</v>
      </c>
      <c r="AM279" t="n">
        <v>2</v>
      </c>
      <c r="AN279" t="n">
        <v>0</v>
      </c>
      <c r="AO279" t="n">
        <v>0</v>
      </c>
      <c r="AP279" t="inlineStr">
        <is>
          <t>Yes</t>
        </is>
      </c>
      <c r="AQ279" t="inlineStr">
        <is>
          <t>No</t>
        </is>
      </c>
      <c r="AR279">
        <f>HYPERLINK("http://catalog.hathitrust.org/Record/000428758","HathiTrust Record")</f>
        <v/>
      </c>
      <c r="AS279">
        <f>HYPERLINK("https://creighton-primo.hosted.exlibrisgroup.com/primo-explore/search?tab=default_tab&amp;search_scope=EVERYTHING&amp;vid=01CRU&amp;lang=en_US&amp;offset=0&amp;query=any,contains,991003096699702656","Catalog Record")</f>
        <v/>
      </c>
      <c r="AT279">
        <f>HYPERLINK("http://www.worldcat.org/oclc/646328","WorldCat Record")</f>
        <v/>
      </c>
      <c r="AU279" t="inlineStr">
        <is>
          <t>1813270:eng</t>
        </is>
      </c>
      <c r="AV279" t="inlineStr">
        <is>
          <t>646328</t>
        </is>
      </c>
      <c r="AW279" t="inlineStr">
        <is>
          <t>991003096699702656</t>
        </is>
      </c>
      <c r="AX279" t="inlineStr">
        <is>
          <t>991003096699702656</t>
        </is>
      </c>
      <c r="AY279" t="inlineStr">
        <is>
          <t>2260188510002656</t>
        </is>
      </c>
      <c r="AZ279" t="inlineStr">
        <is>
          <t>BOOK</t>
        </is>
      </c>
      <c r="BC279" t="inlineStr">
        <is>
          <t>32285002237120</t>
        </is>
      </c>
      <c r="BD279" t="inlineStr">
        <is>
          <t>893809831</t>
        </is>
      </c>
    </row>
    <row r="280">
      <c r="A280" t="inlineStr">
        <is>
          <t>No</t>
        </is>
      </c>
      <c r="B280" t="inlineStr">
        <is>
          <t>BF205.N6 G55 1972</t>
        </is>
      </c>
      <c r="C280" t="inlineStr">
        <is>
          <t>0                      BF 0205000N  6                  G  55          1972</t>
        </is>
      </c>
      <c r="D280" t="inlineStr">
        <is>
          <t>Urban stress : experiments on noise and social stressors / [by] David C. Glass [and] Jerome E. Singer.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Glass, David C.</t>
        </is>
      </c>
      <c r="L280" t="inlineStr">
        <is>
          <t>New York : Academic Press, 1972.</t>
        </is>
      </c>
      <c r="M280" t="inlineStr">
        <is>
          <t>1972</t>
        </is>
      </c>
      <c r="O280" t="inlineStr">
        <is>
          <t>eng</t>
        </is>
      </c>
      <c r="P280" t="inlineStr">
        <is>
          <t>nyu</t>
        </is>
      </c>
      <c r="Q280" t="inlineStr">
        <is>
          <t>Social psychology</t>
        </is>
      </c>
      <c r="R280" t="inlineStr">
        <is>
          <t xml:space="preserve">BF </t>
        </is>
      </c>
      <c r="S280" t="n">
        <v>6</v>
      </c>
      <c r="T280" t="n">
        <v>6</v>
      </c>
      <c r="U280" t="inlineStr">
        <is>
          <t>2006-03-29</t>
        </is>
      </c>
      <c r="V280" t="inlineStr">
        <is>
          <t>2006-03-29</t>
        </is>
      </c>
      <c r="W280" t="inlineStr">
        <is>
          <t>1990-03-07</t>
        </is>
      </c>
      <c r="X280" t="inlineStr">
        <is>
          <t>1990-03-07</t>
        </is>
      </c>
      <c r="Y280" t="n">
        <v>787</v>
      </c>
      <c r="Z280" t="n">
        <v>596</v>
      </c>
      <c r="AA280" t="n">
        <v>598</v>
      </c>
      <c r="AB280" t="n">
        <v>6</v>
      </c>
      <c r="AC280" t="n">
        <v>6</v>
      </c>
      <c r="AD280" t="n">
        <v>26</v>
      </c>
      <c r="AE280" t="n">
        <v>26</v>
      </c>
      <c r="AF280" t="n">
        <v>10</v>
      </c>
      <c r="AG280" t="n">
        <v>10</v>
      </c>
      <c r="AH280" t="n">
        <v>7</v>
      </c>
      <c r="AI280" t="n">
        <v>7</v>
      </c>
      <c r="AJ280" t="n">
        <v>12</v>
      </c>
      <c r="AK280" t="n">
        <v>12</v>
      </c>
      <c r="AL280" t="n">
        <v>5</v>
      </c>
      <c r="AM280" t="n">
        <v>5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HYPERLINK("http://catalog.hathitrust.org/Record/000660810","HathiTrust Record")</f>
        <v/>
      </c>
      <c r="AS280">
        <f>HYPERLINK("https://creighton-primo.hosted.exlibrisgroup.com/primo-explore/search?tab=default_tab&amp;search_scope=EVERYTHING&amp;vid=01CRU&amp;lang=en_US&amp;offset=0&amp;query=any,contains,991004239269702656","Catalog Record")</f>
        <v/>
      </c>
      <c r="AT280">
        <f>HYPERLINK("http://www.worldcat.org/oclc/2780297","WorldCat Record")</f>
        <v/>
      </c>
      <c r="AU280" t="inlineStr">
        <is>
          <t>6093560:eng</t>
        </is>
      </c>
      <c r="AV280" t="inlineStr">
        <is>
          <t>2780297</t>
        </is>
      </c>
      <c r="AW280" t="inlineStr">
        <is>
          <t>991004239269702656</t>
        </is>
      </c>
      <c r="AX280" t="inlineStr">
        <is>
          <t>991004239269702656</t>
        </is>
      </c>
      <c r="AY280" t="inlineStr">
        <is>
          <t>2262999770002656</t>
        </is>
      </c>
      <c r="AZ280" t="inlineStr">
        <is>
          <t>BOOK</t>
        </is>
      </c>
      <c r="BB280" t="inlineStr">
        <is>
          <t>9780122860508</t>
        </is>
      </c>
      <c r="BC280" t="inlineStr">
        <is>
          <t>32285000080266</t>
        </is>
      </c>
      <c r="BD280" t="inlineStr">
        <is>
          <t>893229102</t>
        </is>
      </c>
    </row>
    <row r="281">
      <c r="A281" t="inlineStr">
        <is>
          <t>No</t>
        </is>
      </c>
      <c r="B281" t="inlineStr">
        <is>
          <t>BF207 .M4</t>
        </is>
      </c>
      <c r="C281" t="inlineStr">
        <is>
          <t>0                      BF 0207000M  4</t>
        </is>
      </c>
      <c r="D281" t="inlineStr">
        <is>
          <t>The ecstatic adventure / edited, with an introd. and notes, by Ralph Metzner. Foreword by Alan Watts.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Metzner, Ralph.</t>
        </is>
      </c>
      <c r="L281" t="inlineStr">
        <is>
          <t>New York : Macmillan, [1968]</t>
        </is>
      </c>
      <c r="M281" t="inlineStr">
        <is>
          <t>1968</t>
        </is>
      </c>
      <c r="O281" t="inlineStr">
        <is>
          <t>eng</t>
        </is>
      </c>
      <c r="P281" t="inlineStr">
        <is>
          <t>nyu</t>
        </is>
      </c>
      <c r="R281" t="inlineStr">
        <is>
          <t xml:space="preserve">BF </t>
        </is>
      </c>
      <c r="S281" t="n">
        <v>2</v>
      </c>
      <c r="T281" t="n">
        <v>2</v>
      </c>
      <c r="U281" t="inlineStr">
        <is>
          <t>1997-03-24</t>
        </is>
      </c>
      <c r="V281" t="inlineStr">
        <is>
          <t>1997-03-24</t>
        </is>
      </c>
      <c r="W281" t="inlineStr">
        <is>
          <t>1995-03-28</t>
        </is>
      </c>
      <c r="X281" t="inlineStr">
        <is>
          <t>1995-03-28</t>
        </is>
      </c>
      <c r="Y281" t="n">
        <v>343</v>
      </c>
      <c r="Z281" t="n">
        <v>314</v>
      </c>
      <c r="AA281" t="n">
        <v>316</v>
      </c>
      <c r="AB281" t="n">
        <v>4</v>
      </c>
      <c r="AC281" t="n">
        <v>4</v>
      </c>
      <c r="AD281" t="n">
        <v>15</v>
      </c>
      <c r="AE281" t="n">
        <v>15</v>
      </c>
      <c r="AF281" t="n">
        <v>5</v>
      </c>
      <c r="AG281" t="n">
        <v>5</v>
      </c>
      <c r="AH281" t="n">
        <v>1</v>
      </c>
      <c r="AI281" t="n">
        <v>1</v>
      </c>
      <c r="AJ281" t="n">
        <v>7</v>
      </c>
      <c r="AK281" t="n">
        <v>7</v>
      </c>
      <c r="AL281" t="n">
        <v>3</v>
      </c>
      <c r="AM281" t="n">
        <v>3</v>
      </c>
      <c r="AN281" t="n">
        <v>1</v>
      </c>
      <c r="AO281" t="n">
        <v>1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HYPERLINK("http://catalog.hathitrust.org/Record/000660815","HathiTrust Record")</f>
        <v/>
      </c>
      <c r="AS281">
        <f>HYPERLINK("https://creighton-primo.hosted.exlibrisgroup.com/primo-explore/search?tab=default_tab&amp;search_scope=EVERYTHING&amp;vid=01CRU&amp;lang=en_US&amp;offset=0&amp;query=any,contains,991002776159702656","Catalog Record")</f>
        <v/>
      </c>
      <c r="AT281">
        <f>HYPERLINK("http://www.worldcat.org/oclc/438846","WorldCat Record")</f>
        <v/>
      </c>
      <c r="AU281" t="inlineStr">
        <is>
          <t>1562271:eng</t>
        </is>
      </c>
      <c r="AV281" t="inlineStr">
        <is>
          <t>438846</t>
        </is>
      </c>
      <c r="AW281" t="inlineStr">
        <is>
          <t>991002776159702656</t>
        </is>
      </c>
      <c r="AX281" t="inlineStr">
        <is>
          <t>991002776159702656</t>
        </is>
      </c>
      <c r="AY281" t="inlineStr">
        <is>
          <t>2265305210002656</t>
        </is>
      </c>
      <c r="AZ281" t="inlineStr">
        <is>
          <t>BOOK</t>
        </is>
      </c>
      <c r="BC281" t="inlineStr">
        <is>
          <t>32285002014370</t>
        </is>
      </c>
      <c r="BD281" t="inlineStr">
        <is>
          <t>893341835</t>
        </is>
      </c>
    </row>
    <row r="282">
      <c r="A282" t="inlineStr">
        <is>
          <t>No</t>
        </is>
      </c>
      <c r="B282" t="inlineStr">
        <is>
          <t>BF21 .A54 775</t>
        </is>
      </c>
      <c r="C282" t="inlineStr">
        <is>
          <t>0                      BF 0021000A  54                                                      775</t>
        </is>
      </c>
      <c r="D282" t="inlineStr">
        <is>
          <t>A manual of self-control procedures for the overweight / Michael J. Mahoney, D. Balfour Jeffrey.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Mahoney, Michael J.</t>
        </is>
      </c>
      <c r="L282" t="inlineStr">
        <is>
          <t>Washington, D.C. : American Psychological Association, [197-]</t>
        </is>
      </c>
      <c r="M282" t="inlineStr">
        <is>
          <t>1970</t>
        </is>
      </c>
      <c r="O282" t="inlineStr">
        <is>
          <t>eng</t>
        </is>
      </c>
      <c r="P282" t="inlineStr">
        <is>
          <t>dcu</t>
        </is>
      </c>
      <c r="Q282" t="inlineStr">
        <is>
          <t>JSAS document ; ms. no. 775</t>
        </is>
      </c>
      <c r="R282" t="inlineStr">
        <is>
          <t xml:space="preserve">BF </t>
        </is>
      </c>
      <c r="S282" t="n">
        <v>4</v>
      </c>
      <c r="T282" t="n">
        <v>4</v>
      </c>
      <c r="U282" t="inlineStr">
        <is>
          <t>2006-11-27</t>
        </is>
      </c>
      <c r="V282" t="inlineStr">
        <is>
          <t>2006-11-27</t>
        </is>
      </c>
      <c r="W282" t="inlineStr">
        <is>
          <t>1992-02-27</t>
        </is>
      </c>
      <c r="X282" t="inlineStr">
        <is>
          <t>1992-02-27</t>
        </is>
      </c>
      <c r="Y282" t="n">
        <v>8</v>
      </c>
      <c r="Z282" t="n">
        <v>8</v>
      </c>
      <c r="AA282" t="n">
        <v>10</v>
      </c>
      <c r="AB282" t="n">
        <v>1</v>
      </c>
      <c r="AC282" t="n">
        <v>1</v>
      </c>
      <c r="AD282" t="n">
        <v>0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0</v>
      </c>
      <c r="AM282" t="n">
        <v>0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HYPERLINK("https://creighton-primo.hosted.exlibrisgroup.com/primo-explore/search?tab=default_tab&amp;search_scope=EVERYTHING&amp;vid=01CRU&amp;lang=en_US&amp;offset=0&amp;query=any,contains,991004622889702656","Catalog Record")</f>
        <v/>
      </c>
      <c r="AT282">
        <f>HYPERLINK("http://www.worldcat.org/oclc/4312898","WorldCat Record")</f>
        <v/>
      </c>
      <c r="AU282" t="inlineStr">
        <is>
          <t>14664063:eng</t>
        </is>
      </c>
      <c r="AV282" t="inlineStr">
        <is>
          <t>4312898</t>
        </is>
      </c>
      <c r="AW282" t="inlineStr">
        <is>
          <t>991004622889702656</t>
        </is>
      </c>
      <c r="AX282" t="inlineStr">
        <is>
          <t>991004622889702656</t>
        </is>
      </c>
      <c r="AY282" t="inlineStr">
        <is>
          <t>2266656230002656</t>
        </is>
      </c>
      <c r="AZ282" t="inlineStr">
        <is>
          <t>BOOK</t>
        </is>
      </c>
      <c r="BC282" t="inlineStr">
        <is>
          <t>32285000978360</t>
        </is>
      </c>
      <c r="BD282" t="inlineStr">
        <is>
          <t>893618879</t>
        </is>
      </c>
    </row>
    <row r="283">
      <c r="A283" t="inlineStr">
        <is>
          <t>No</t>
        </is>
      </c>
      <c r="B283" t="inlineStr">
        <is>
          <t>BF21 .B48 1982</t>
        </is>
      </c>
      <c r="C283" t="inlineStr">
        <is>
          <t>0                      BF 0021000B  48          1982</t>
        </is>
      </c>
      <c r="D283" t="inlineStr">
        <is>
          <t>Biographical sketches of eminent psychologists : a selected bibliography / Ludy T. Benjamin, Jr., Wendy Shlossman.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Benjamin, Ludy T., 1945-</t>
        </is>
      </c>
      <c r="L283" t="inlineStr">
        <is>
          <t>[College Station, Tex. : Texas A&amp;M University, 1982]</t>
        </is>
      </c>
      <c r="M283" t="inlineStr">
        <is>
          <t>1983</t>
        </is>
      </c>
      <c r="O283" t="inlineStr">
        <is>
          <t>eng</t>
        </is>
      </c>
      <c r="P283" t="inlineStr">
        <is>
          <t>dcu</t>
        </is>
      </c>
      <c r="R283" t="inlineStr">
        <is>
          <t xml:space="preserve">BF </t>
        </is>
      </c>
      <c r="S283" t="n">
        <v>2</v>
      </c>
      <c r="T283" t="n">
        <v>2</v>
      </c>
      <c r="U283" t="inlineStr">
        <is>
          <t>2001-10-08</t>
        </is>
      </c>
      <c r="V283" t="inlineStr">
        <is>
          <t>2001-10-08</t>
        </is>
      </c>
      <c r="W283" t="inlineStr">
        <is>
          <t>1996-12-20</t>
        </is>
      </c>
      <c r="X283" t="inlineStr">
        <is>
          <t>1996-12-20</t>
        </is>
      </c>
      <c r="Y283" t="n">
        <v>4</v>
      </c>
      <c r="Z283" t="n">
        <v>4</v>
      </c>
      <c r="AA283" t="n">
        <v>4</v>
      </c>
      <c r="AB283" t="n">
        <v>1</v>
      </c>
      <c r="AC283" t="n">
        <v>1</v>
      </c>
      <c r="AD283" t="n">
        <v>0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0</v>
      </c>
      <c r="AM283" t="n">
        <v>0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HYPERLINK("https://creighton-primo.hosted.exlibrisgroup.com/primo-explore/search?tab=default_tab&amp;search_scope=EVERYTHING&amp;vid=01CRU&amp;lang=en_US&amp;offset=0&amp;query=any,contains,991000490449702656","Catalog Record")</f>
        <v/>
      </c>
      <c r="AT283">
        <f>HYPERLINK("http://www.worldcat.org/oclc/11101769","WorldCat Record")</f>
        <v/>
      </c>
      <c r="AU283" t="inlineStr">
        <is>
          <t>1806147986:eng</t>
        </is>
      </c>
      <c r="AV283" t="inlineStr">
        <is>
          <t>11101769</t>
        </is>
      </c>
      <c r="AW283" t="inlineStr">
        <is>
          <t>991000490449702656</t>
        </is>
      </c>
      <c r="AX283" t="inlineStr">
        <is>
          <t>991000490449702656</t>
        </is>
      </c>
      <c r="AY283" t="inlineStr">
        <is>
          <t>2269567220002656</t>
        </is>
      </c>
      <c r="AZ283" t="inlineStr">
        <is>
          <t>BOOK</t>
        </is>
      </c>
      <c r="BC283" t="inlineStr">
        <is>
          <t>32285002400983</t>
        </is>
      </c>
      <c r="BD283" t="inlineStr">
        <is>
          <t>893708411</t>
        </is>
      </c>
    </row>
    <row r="284">
      <c r="A284" t="inlineStr">
        <is>
          <t>No</t>
        </is>
      </c>
      <c r="B284" t="inlineStr">
        <is>
          <t>BF21 .K6</t>
        </is>
      </c>
      <c r="C284" t="inlineStr">
        <is>
          <t>0                      BF 0021000K  6</t>
        </is>
      </c>
      <c r="D284" t="inlineStr">
        <is>
          <t>Dynamics in Psychology, by Wolfgang Köhler ...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Köhler, Wolfgang, 1887-1967.</t>
        </is>
      </c>
      <c r="L284" t="inlineStr">
        <is>
          <t>New York, Liveright Publishing Corporation [c1940]</t>
        </is>
      </c>
      <c r="M284" t="inlineStr">
        <is>
          <t>1940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BF </t>
        </is>
      </c>
      <c r="S284" t="n">
        <v>1</v>
      </c>
      <c r="T284" t="n">
        <v>1</v>
      </c>
      <c r="U284" t="inlineStr">
        <is>
          <t>2005-10-27</t>
        </is>
      </c>
      <c r="V284" t="inlineStr">
        <is>
          <t>2005-10-27</t>
        </is>
      </c>
      <c r="W284" t="inlineStr">
        <is>
          <t>1996-07-22</t>
        </is>
      </c>
      <c r="X284" t="inlineStr">
        <is>
          <t>1996-07-22</t>
        </is>
      </c>
      <c r="Y284" t="n">
        <v>595</v>
      </c>
      <c r="Z284" t="n">
        <v>510</v>
      </c>
      <c r="AA284" t="n">
        <v>725</v>
      </c>
      <c r="AB284" t="n">
        <v>3</v>
      </c>
      <c r="AC284" t="n">
        <v>4</v>
      </c>
      <c r="AD284" t="n">
        <v>26</v>
      </c>
      <c r="AE284" t="n">
        <v>33</v>
      </c>
      <c r="AF284" t="n">
        <v>9</v>
      </c>
      <c r="AG284" t="n">
        <v>13</v>
      </c>
      <c r="AH284" t="n">
        <v>6</v>
      </c>
      <c r="AI284" t="n">
        <v>8</v>
      </c>
      <c r="AJ284" t="n">
        <v>15</v>
      </c>
      <c r="AK284" t="n">
        <v>18</v>
      </c>
      <c r="AL284" t="n">
        <v>2</v>
      </c>
      <c r="AM284" t="n">
        <v>3</v>
      </c>
      <c r="AN284" t="n">
        <v>0</v>
      </c>
      <c r="AO284" t="n">
        <v>0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HYPERLINK("http://catalog.hathitrust.org/Record/000579617","HathiTrust Record")</f>
        <v/>
      </c>
      <c r="AS284">
        <f>HYPERLINK("https://creighton-primo.hosted.exlibrisgroup.com/primo-explore/search?tab=default_tab&amp;search_scope=EVERYTHING&amp;vid=01CRU&amp;lang=en_US&amp;offset=0&amp;query=any,contains,991003318979702656","Catalog Record")</f>
        <v/>
      </c>
      <c r="AT284">
        <f>HYPERLINK("http://www.worldcat.org/oclc/845671","WorldCat Record")</f>
        <v/>
      </c>
      <c r="AU284" t="inlineStr">
        <is>
          <t>1768560:eng</t>
        </is>
      </c>
      <c r="AV284" t="inlineStr">
        <is>
          <t>845671</t>
        </is>
      </c>
      <c r="AW284" t="inlineStr">
        <is>
          <t>991003318979702656</t>
        </is>
      </c>
      <c r="AX284" t="inlineStr">
        <is>
          <t>991003318979702656</t>
        </is>
      </c>
      <c r="AY284" t="inlineStr">
        <is>
          <t>2271547800002656</t>
        </is>
      </c>
      <c r="AZ284" t="inlineStr">
        <is>
          <t>BOOK</t>
        </is>
      </c>
      <c r="BC284" t="inlineStr">
        <is>
          <t>32285002232766</t>
        </is>
      </c>
      <c r="BD284" t="inlineStr">
        <is>
          <t>893887355</t>
        </is>
      </c>
    </row>
    <row r="285">
      <c r="A285" t="inlineStr">
        <is>
          <t>No</t>
        </is>
      </c>
      <c r="B285" t="inlineStr">
        <is>
          <t>BF21 .M45 1963</t>
        </is>
      </c>
      <c r="C285" t="inlineStr">
        <is>
          <t>0                      BF 0021000M  45          1963</t>
        </is>
      </c>
      <c r="D285" t="inlineStr">
        <is>
          <t>Theories in contemporary psychology.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Marx, Melvin Herman.</t>
        </is>
      </c>
      <c r="L285" t="inlineStr">
        <is>
          <t>New York, Macmillan [1963]</t>
        </is>
      </c>
      <c r="M285" t="inlineStr">
        <is>
          <t>1963</t>
        </is>
      </c>
      <c r="O285" t="inlineStr">
        <is>
          <t>eng</t>
        </is>
      </c>
      <c r="P285" t="inlineStr">
        <is>
          <t>nyu</t>
        </is>
      </c>
      <c r="R285" t="inlineStr">
        <is>
          <t xml:space="preserve">BF </t>
        </is>
      </c>
      <c r="S285" t="n">
        <v>3</v>
      </c>
      <c r="T285" t="n">
        <v>3</v>
      </c>
      <c r="U285" t="inlineStr">
        <is>
          <t>2005-10-10</t>
        </is>
      </c>
      <c r="V285" t="inlineStr">
        <is>
          <t>2005-10-10</t>
        </is>
      </c>
      <c r="W285" t="inlineStr">
        <is>
          <t>1996-07-22</t>
        </is>
      </c>
      <c r="X285" t="inlineStr">
        <is>
          <t>1996-07-22</t>
        </is>
      </c>
      <c r="Y285" t="n">
        <v>789</v>
      </c>
      <c r="Z285" t="n">
        <v>657</v>
      </c>
      <c r="AA285" t="n">
        <v>797</v>
      </c>
      <c r="AB285" t="n">
        <v>5</v>
      </c>
      <c r="AC285" t="n">
        <v>7</v>
      </c>
      <c r="AD285" t="n">
        <v>34</v>
      </c>
      <c r="AE285" t="n">
        <v>38</v>
      </c>
      <c r="AF285" t="n">
        <v>14</v>
      </c>
      <c r="AG285" t="n">
        <v>16</v>
      </c>
      <c r="AH285" t="n">
        <v>5</v>
      </c>
      <c r="AI285" t="n">
        <v>7</v>
      </c>
      <c r="AJ285" t="n">
        <v>22</v>
      </c>
      <c r="AK285" t="n">
        <v>22</v>
      </c>
      <c r="AL285" t="n">
        <v>4</v>
      </c>
      <c r="AM285" t="n">
        <v>5</v>
      </c>
      <c r="AN285" t="n">
        <v>0</v>
      </c>
      <c r="AO285" t="n">
        <v>0</v>
      </c>
      <c r="AP285" t="inlineStr">
        <is>
          <t>No</t>
        </is>
      </c>
      <c r="AQ285" t="inlineStr">
        <is>
          <t>No</t>
        </is>
      </c>
      <c r="AR285">
        <f>HYPERLINK("http://catalog.hathitrust.org/Record/000579670","HathiTrust Record")</f>
        <v/>
      </c>
      <c r="AS285">
        <f>HYPERLINK("https://creighton-primo.hosted.exlibrisgroup.com/primo-explore/search?tab=default_tab&amp;search_scope=EVERYTHING&amp;vid=01CRU&amp;lang=en_US&amp;offset=0&amp;query=any,contains,991005253559702656","Catalog Record")</f>
        <v/>
      </c>
      <c r="AT285">
        <f>HYPERLINK("http://www.worldcat.org/oclc/193383","WorldCat Record")</f>
        <v/>
      </c>
      <c r="AU285" t="inlineStr">
        <is>
          <t>363995693:eng</t>
        </is>
      </c>
      <c r="AV285" t="inlineStr">
        <is>
          <t>193383</t>
        </is>
      </c>
      <c r="AW285" t="inlineStr">
        <is>
          <t>991005253559702656</t>
        </is>
      </c>
      <c r="AX285" t="inlineStr">
        <is>
          <t>991005253559702656</t>
        </is>
      </c>
      <c r="AY285" t="inlineStr">
        <is>
          <t>2270822700002656</t>
        </is>
      </c>
      <c r="AZ285" t="inlineStr">
        <is>
          <t>BOOK</t>
        </is>
      </c>
      <c r="BC285" t="inlineStr">
        <is>
          <t>32285002232790</t>
        </is>
      </c>
      <c r="BD285" t="inlineStr">
        <is>
          <t>893533453</t>
        </is>
      </c>
    </row>
    <row r="286">
      <c r="A286" t="inlineStr">
        <is>
          <t>No</t>
        </is>
      </c>
      <c r="B286" t="inlineStr">
        <is>
          <t>BF21 .W5</t>
        </is>
      </c>
      <c r="C286" t="inlineStr">
        <is>
          <t>0                      BF 0021000W  5</t>
        </is>
      </c>
      <c r="D286" t="inlineStr">
        <is>
          <t>The maturational processes and the facilitating environment; studies in the theory of emotional development, by D. W. Winnicott.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Winnicott, D. W. (Donald Woods), 1896-1971.</t>
        </is>
      </c>
      <c r="L286" t="inlineStr">
        <is>
          <t>New York, International Universities Press [1965]</t>
        </is>
      </c>
      <c r="M286" t="inlineStr">
        <is>
          <t>1965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BF </t>
        </is>
      </c>
      <c r="S286" t="n">
        <v>3</v>
      </c>
      <c r="T286" t="n">
        <v>3</v>
      </c>
      <c r="U286" t="inlineStr">
        <is>
          <t>2004-02-25</t>
        </is>
      </c>
      <c r="V286" t="inlineStr">
        <is>
          <t>2004-02-25</t>
        </is>
      </c>
      <c r="W286" t="inlineStr">
        <is>
          <t>1996-07-22</t>
        </is>
      </c>
      <c r="X286" t="inlineStr">
        <is>
          <t>1996-07-22</t>
        </is>
      </c>
      <c r="Y286" t="n">
        <v>512</v>
      </c>
      <c r="Z286" t="n">
        <v>458</v>
      </c>
      <c r="AA286" t="n">
        <v>529</v>
      </c>
      <c r="AB286" t="n">
        <v>3</v>
      </c>
      <c r="AC286" t="n">
        <v>3</v>
      </c>
      <c r="AD286" t="n">
        <v>19</v>
      </c>
      <c r="AE286" t="n">
        <v>23</v>
      </c>
      <c r="AF286" t="n">
        <v>7</v>
      </c>
      <c r="AG286" t="n">
        <v>9</v>
      </c>
      <c r="AH286" t="n">
        <v>5</v>
      </c>
      <c r="AI286" t="n">
        <v>6</v>
      </c>
      <c r="AJ286" t="n">
        <v>11</v>
      </c>
      <c r="AK286" t="n">
        <v>12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HYPERLINK("https://creighton-primo.hosted.exlibrisgroup.com/primo-explore/search?tab=default_tab&amp;search_scope=EVERYTHING&amp;vid=01CRU&amp;lang=en_US&amp;offset=0&amp;query=any,contains,991005265079702656","Catalog Record")</f>
        <v/>
      </c>
      <c r="AT286">
        <f>HYPERLINK("http://www.worldcat.org/oclc/193375","WorldCat Record")</f>
        <v/>
      </c>
      <c r="AU286" t="inlineStr">
        <is>
          <t>377288907:eng</t>
        </is>
      </c>
      <c r="AV286" t="inlineStr">
        <is>
          <t>193375</t>
        </is>
      </c>
      <c r="AW286" t="inlineStr">
        <is>
          <t>991005265079702656</t>
        </is>
      </c>
      <c r="AX286" t="inlineStr">
        <is>
          <t>991005265079702656</t>
        </is>
      </c>
      <c r="AY286" t="inlineStr">
        <is>
          <t>2270820580002656</t>
        </is>
      </c>
      <c r="AZ286" t="inlineStr">
        <is>
          <t>BOOK</t>
        </is>
      </c>
      <c r="BC286" t="inlineStr">
        <is>
          <t>32285002232832</t>
        </is>
      </c>
      <c r="BD286" t="inlineStr">
        <is>
          <t>893695035</t>
        </is>
      </c>
    </row>
    <row r="287">
      <c r="A287" t="inlineStr">
        <is>
          <t>No</t>
        </is>
      </c>
      <c r="B287" t="inlineStr">
        <is>
          <t>BF233 .B6</t>
        </is>
      </c>
      <c r="C287" t="inlineStr">
        <is>
          <t>0                      BF 0233000B  6</t>
        </is>
      </c>
      <c r="D287" t="inlineStr">
        <is>
          <t>Sensation and perception in the history of experimental psychology, by Edwin G. Boring ...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Boring, Edwin Garrigues, 1886-1968.</t>
        </is>
      </c>
      <c r="L287" t="inlineStr">
        <is>
          <t>New York, London, D. Appleton-Century Company, Incorporated [1942]</t>
        </is>
      </c>
      <c r="M287" t="inlineStr">
        <is>
          <t>1942</t>
        </is>
      </c>
      <c r="O287" t="inlineStr">
        <is>
          <t>eng</t>
        </is>
      </c>
      <c r="P287" t="inlineStr">
        <is>
          <t>nyu</t>
        </is>
      </c>
      <c r="Q287" t="inlineStr">
        <is>
          <t>Century psychology series</t>
        </is>
      </c>
      <c r="R287" t="inlineStr">
        <is>
          <t xml:space="preserve">BF </t>
        </is>
      </c>
      <c r="S287" t="n">
        <v>3</v>
      </c>
      <c r="T287" t="n">
        <v>3</v>
      </c>
      <c r="U287" t="inlineStr">
        <is>
          <t>1996-09-21</t>
        </is>
      </c>
      <c r="V287" t="inlineStr">
        <is>
          <t>1996-09-21</t>
        </is>
      </c>
      <c r="W287" t="inlineStr">
        <is>
          <t>1996-07-26</t>
        </is>
      </c>
      <c r="X287" t="inlineStr">
        <is>
          <t>1996-07-26</t>
        </is>
      </c>
      <c r="Y287" t="n">
        <v>845</v>
      </c>
      <c r="Z287" t="n">
        <v>699</v>
      </c>
      <c r="AA287" t="n">
        <v>790</v>
      </c>
      <c r="AB287" t="n">
        <v>6</v>
      </c>
      <c r="AC287" t="n">
        <v>6</v>
      </c>
      <c r="AD287" t="n">
        <v>37</v>
      </c>
      <c r="AE287" t="n">
        <v>42</v>
      </c>
      <c r="AF287" t="n">
        <v>18</v>
      </c>
      <c r="AG287" t="n">
        <v>20</v>
      </c>
      <c r="AH287" t="n">
        <v>10</v>
      </c>
      <c r="AI287" t="n">
        <v>10</v>
      </c>
      <c r="AJ287" t="n">
        <v>17</v>
      </c>
      <c r="AK287" t="n">
        <v>20</v>
      </c>
      <c r="AL287" t="n">
        <v>5</v>
      </c>
      <c r="AM287" t="n">
        <v>5</v>
      </c>
      <c r="AN287" t="n">
        <v>0</v>
      </c>
      <c r="AO287" t="n">
        <v>0</v>
      </c>
      <c r="AP287" t="inlineStr">
        <is>
          <t>Yes</t>
        </is>
      </c>
      <c r="AQ287" t="inlineStr">
        <is>
          <t>Yes</t>
        </is>
      </c>
      <c r="AR287">
        <f>HYPERLINK("http://catalog.hathitrust.org/Record/000662195","HathiTrust Record")</f>
        <v/>
      </c>
      <c r="AS287">
        <f>HYPERLINK("https://creighton-primo.hosted.exlibrisgroup.com/primo-explore/search?tab=default_tab&amp;search_scope=EVERYTHING&amp;vid=01CRU&amp;lang=en_US&amp;offset=0&amp;query=any,contains,991001212449702656","Catalog Record")</f>
        <v/>
      </c>
      <c r="AT287">
        <f>HYPERLINK("http://www.worldcat.org/oclc/193304","WorldCat Record")</f>
        <v/>
      </c>
      <c r="AU287" t="inlineStr">
        <is>
          <t>3901306996:eng</t>
        </is>
      </c>
      <c r="AV287" t="inlineStr">
        <is>
          <t>193304</t>
        </is>
      </c>
      <c r="AW287" t="inlineStr">
        <is>
          <t>991001212449702656</t>
        </is>
      </c>
      <c r="AX287" t="inlineStr">
        <is>
          <t>991001212449702656</t>
        </is>
      </c>
      <c r="AY287" t="inlineStr">
        <is>
          <t>2270847400002656</t>
        </is>
      </c>
      <c r="AZ287" t="inlineStr">
        <is>
          <t>BOOK</t>
        </is>
      </c>
      <c r="BC287" t="inlineStr">
        <is>
          <t>32285002237229</t>
        </is>
      </c>
      <c r="BD287" t="inlineStr">
        <is>
          <t>893327962</t>
        </is>
      </c>
    </row>
    <row r="288">
      <c r="A288" t="inlineStr">
        <is>
          <t>No</t>
        </is>
      </c>
      <c r="B288" t="inlineStr">
        <is>
          <t>BF233 .C48 1979</t>
        </is>
      </c>
      <c r="C288" t="inlineStr">
        <is>
          <t>0                      BF 0233000C  48          1979</t>
        </is>
      </c>
      <c r="D288" t="inlineStr">
        <is>
          <t>Sensory experience / Raymond J. Christman.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Christman, Raymond John, 1919-</t>
        </is>
      </c>
      <c r="L288" t="inlineStr">
        <is>
          <t>New York : Harper &amp; Row, c1979.</t>
        </is>
      </c>
      <c r="M288" t="inlineStr">
        <is>
          <t>1979</t>
        </is>
      </c>
      <c r="N288" t="inlineStr">
        <is>
          <t>2d ed.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BF </t>
        </is>
      </c>
      <c r="S288" t="n">
        <v>3</v>
      </c>
      <c r="T288" t="n">
        <v>3</v>
      </c>
      <c r="U288" t="inlineStr">
        <is>
          <t>1995-04-04</t>
        </is>
      </c>
      <c r="V288" t="inlineStr">
        <is>
          <t>1995-04-04</t>
        </is>
      </c>
      <c r="W288" t="inlineStr">
        <is>
          <t>1991-05-01</t>
        </is>
      </c>
      <c r="X288" t="inlineStr">
        <is>
          <t>1991-05-01</t>
        </is>
      </c>
      <c r="Y288" t="n">
        <v>168</v>
      </c>
      <c r="Z288" t="n">
        <v>120</v>
      </c>
      <c r="AA288" t="n">
        <v>415</v>
      </c>
      <c r="AB288" t="n">
        <v>1</v>
      </c>
      <c r="AC288" t="n">
        <v>2</v>
      </c>
      <c r="AD288" t="n">
        <v>5</v>
      </c>
      <c r="AE288" t="n">
        <v>23</v>
      </c>
      <c r="AF288" t="n">
        <v>2</v>
      </c>
      <c r="AG288" t="n">
        <v>11</v>
      </c>
      <c r="AH288" t="n">
        <v>2</v>
      </c>
      <c r="AI288" t="n">
        <v>5</v>
      </c>
      <c r="AJ288" t="n">
        <v>3</v>
      </c>
      <c r="AK288" t="n">
        <v>11</v>
      </c>
      <c r="AL288" t="n">
        <v>0</v>
      </c>
      <c r="AM288" t="n">
        <v>1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HYPERLINK("https://creighton-primo.hosted.exlibrisgroup.com/primo-explore/search?tab=default_tab&amp;search_scope=EVERYTHING&amp;vid=01CRU&amp;lang=en_US&amp;offset=0&amp;query=any,contains,991004584249702656","Catalog Record")</f>
        <v/>
      </c>
      <c r="AT288">
        <f>HYPERLINK("http://www.worldcat.org/oclc/4076665","WorldCat Record")</f>
        <v/>
      </c>
      <c r="AU288" t="inlineStr">
        <is>
          <t>1315777:eng</t>
        </is>
      </c>
      <c r="AV288" t="inlineStr">
        <is>
          <t>4076665</t>
        </is>
      </c>
      <c r="AW288" t="inlineStr">
        <is>
          <t>991004584249702656</t>
        </is>
      </c>
      <c r="AX288" t="inlineStr">
        <is>
          <t>991004584249702656</t>
        </is>
      </c>
      <c r="AY288" t="inlineStr">
        <is>
          <t>2262961720002656</t>
        </is>
      </c>
      <c r="AZ288" t="inlineStr">
        <is>
          <t>BOOK</t>
        </is>
      </c>
      <c r="BB288" t="inlineStr">
        <is>
          <t>9780060412845</t>
        </is>
      </c>
      <c r="BC288" t="inlineStr">
        <is>
          <t>32285000589712</t>
        </is>
      </c>
      <c r="BD288" t="inlineStr">
        <is>
          <t>893337891</t>
        </is>
      </c>
    </row>
    <row r="289">
      <c r="A289" t="inlineStr">
        <is>
          <t>No</t>
        </is>
      </c>
      <c r="B289" t="inlineStr">
        <is>
          <t>BF233 .C57 1993</t>
        </is>
      </c>
      <c r="C289" t="inlineStr">
        <is>
          <t>0                      BF 0233000C  57          1993</t>
        </is>
      </c>
      <c r="D289" t="inlineStr">
        <is>
          <t>Worlds of sense : exploring the senses in history and across cultures / Constance Classen.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Classen, Constance, 1957-</t>
        </is>
      </c>
      <c r="L289" t="inlineStr">
        <is>
          <t>London ; New York : Routledge, 1993.</t>
        </is>
      </c>
      <c r="M289" t="inlineStr">
        <is>
          <t>1993</t>
        </is>
      </c>
      <c r="O289" t="inlineStr">
        <is>
          <t>eng</t>
        </is>
      </c>
      <c r="P289" t="inlineStr">
        <is>
          <t>enk</t>
        </is>
      </c>
      <c r="R289" t="inlineStr">
        <is>
          <t xml:space="preserve">BF </t>
        </is>
      </c>
      <c r="S289" t="n">
        <v>1</v>
      </c>
      <c r="T289" t="n">
        <v>1</v>
      </c>
      <c r="U289" t="inlineStr">
        <is>
          <t>2009-04-13</t>
        </is>
      </c>
      <c r="V289" t="inlineStr">
        <is>
          <t>2009-04-13</t>
        </is>
      </c>
      <c r="W289" t="inlineStr">
        <is>
          <t>1994-07-06</t>
        </is>
      </c>
      <c r="X289" t="inlineStr">
        <is>
          <t>1994-07-06</t>
        </is>
      </c>
      <c r="Y289" t="n">
        <v>374</v>
      </c>
      <c r="Z289" t="n">
        <v>243</v>
      </c>
      <c r="AA289" t="n">
        <v>244</v>
      </c>
      <c r="AB289" t="n">
        <v>3</v>
      </c>
      <c r="AC289" t="n">
        <v>3</v>
      </c>
      <c r="AD289" t="n">
        <v>13</v>
      </c>
      <c r="AE289" t="n">
        <v>13</v>
      </c>
      <c r="AF289" t="n">
        <v>2</v>
      </c>
      <c r="AG289" t="n">
        <v>2</v>
      </c>
      <c r="AH289" t="n">
        <v>4</v>
      </c>
      <c r="AI289" t="n">
        <v>4</v>
      </c>
      <c r="AJ289" t="n">
        <v>8</v>
      </c>
      <c r="AK289" t="n">
        <v>8</v>
      </c>
      <c r="AL289" t="n">
        <v>2</v>
      </c>
      <c r="AM289" t="n">
        <v>2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HYPERLINK("https://creighton-primo.hosted.exlibrisgroup.com/primo-explore/search?tab=default_tab&amp;search_scope=EVERYTHING&amp;vid=01CRU&amp;lang=en_US&amp;offset=0&amp;query=any,contains,991002150569702656","Catalog Record")</f>
        <v/>
      </c>
      <c r="AT289">
        <f>HYPERLINK("http://www.worldcat.org/oclc/27725664","WorldCat Record")</f>
        <v/>
      </c>
      <c r="AU289" t="inlineStr">
        <is>
          <t>836725695:eng</t>
        </is>
      </c>
      <c r="AV289" t="inlineStr">
        <is>
          <t>27725664</t>
        </is>
      </c>
      <c r="AW289" t="inlineStr">
        <is>
          <t>991002150569702656</t>
        </is>
      </c>
      <c r="AX289" t="inlineStr">
        <is>
          <t>991002150569702656</t>
        </is>
      </c>
      <c r="AY289" t="inlineStr">
        <is>
          <t>2267661730002656</t>
        </is>
      </c>
      <c r="AZ289" t="inlineStr">
        <is>
          <t>BOOK</t>
        </is>
      </c>
      <c r="BB289" t="inlineStr">
        <is>
          <t>9780415095952</t>
        </is>
      </c>
      <c r="BC289" t="inlineStr">
        <is>
          <t>32285001930741</t>
        </is>
      </c>
      <c r="BD289" t="inlineStr">
        <is>
          <t>893497769</t>
        </is>
      </c>
    </row>
    <row r="290">
      <c r="A290" t="inlineStr">
        <is>
          <t>No</t>
        </is>
      </c>
      <c r="B290" t="inlineStr">
        <is>
          <t>BF241 .D4</t>
        </is>
      </c>
      <c r="C290" t="inlineStr">
        <is>
          <t>0                      BF 0241000D  4</t>
        </is>
      </c>
      <c r="D290" t="inlineStr">
        <is>
          <t>Visual perception: the nineteenth century [by] William N. Dember.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Dember, William N. (William Norton), 1928-</t>
        </is>
      </c>
      <c r="L290" t="inlineStr">
        <is>
          <t>New York, Wiley [1964]</t>
        </is>
      </c>
      <c r="M290" t="inlineStr">
        <is>
          <t>1964</t>
        </is>
      </c>
      <c r="O290" t="inlineStr">
        <is>
          <t>eng</t>
        </is>
      </c>
      <c r="P290" t="inlineStr">
        <is>
          <t>nyu</t>
        </is>
      </c>
      <c r="Q290" t="inlineStr">
        <is>
          <t>Perspectives in psychology</t>
        </is>
      </c>
      <c r="R290" t="inlineStr">
        <is>
          <t xml:space="preserve">BF </t>
        </is>
      </c>
      <c r="S290" t="n">
        <v>3</v>
      </c>
      <c r="T290" t="n">
        <v>3</v>
      </c>
      <c r="U290" t="inlineStr">
        <is>
          <t>1996-09-22</t>
        </is>
      </c>
      <c r="V290" t="inlineStr">
        <is>
          <t>1996-09-22</t>
        </is>
      </c>
      <c r="W290" t="inlineStr">
        <is>
          <t>1996-07-26</t>
        </is>
      </c>
      <c r="X290" t="inlineStr">
        <is>
          <t>1996-07-26</t>
        </is>
      </c>
      <c r="Y290" t="n">
        <v>656</v>
      </c>
      <c r="Z290" t="n">
        <v>553</v>
      </c>
      <c r="AA290" t="n">
        <v>566</v>
      </c>
      <c r="AB290" t="n">
        <v>4</v>
      </c>
      <c r="AC290" t="n">
        <v>4</v>
      </c>
      <c r="AD290" t="n">
        <v>28</v>
      </c>
      <c r="AE290" t="n">
        <v>28</v>
      </c>
      <c r="AF290" t="n">
        <v>10</v>
      </c>
      <c r="AG290" t="n">
        <v>10</v>
      </c>
      <c r="AH290" t="n">
        <v>8</v>
      </c>
      <c r="AI290" t="n">
        <v>8</v>
      </c>
      <c r="AJ290" t="n">
        <v>14</v>
      </c>
      <c r="AK290" t="n">
        <v>14</v>
      </c>
      <c r="AL290" t="n">
        <v>3</v>
      </c>
      <c r="AM290" t="n">
        <v>3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HYPERLINK("http://catalog.hathitrust.org/Record/000662226","HathiTrust Record")</f>
        <v/>
      </c>
      <c r="AS290">
        <f>HYPERLINK("https://creighton-primo.hosted.exlibrisgroup.com/primo-explore/search?tab=default_tab&amp;search_scope=EVERYTHING&amp;vid=01CRU&amp;lang=en_US&amp;offset=0&amp;query=any,contains,991001371859702656","Catalog Record")</f>
        <v/>
      </c>
      <c r="AT290">
        <f>HYPERLINK("http://www.worldcat.org/oclc/223893","WorldCat Record")</f>
        <v/>
      </c>
      <c r="AU290" t="inlineStr">
        <is>
          <t>1332462:eng</t>
        </is>
      </c>
      <c r="AV290" t="inlineStr">
        <is>
          <t>223893</t>
        </is>
      </c>
      <c r="AW290" t="inlineStr">
        <is>
          <t>991001371859702656</t>
        </is>
      </c>
      <c r="AX290" t="inlineStr">
        <is>
          <t>991001371859702656</t>
        </is>
      </c>
      <c r="AY290" t="inlineStr">
        <is>
          <t>2264205140002656</t>
        </is>
      </c>
      <c r="AZ290" t="inlineStr">
        <is>
          <t>BOOK</t>
        </is>
      </c>
      <c r="BC290" t="inlineStr">
        <is>
          <t>32285002237393</t>
        </is>
      </c>
      <c r="BD290" t="inlineStr">
        <is>
          <t>893696691</t>
        </is>
      </c>
    </row>
    <row r="291">
      <c r="A291" t="inlineStr">
        <is>
          <t>No</t>
        </is>
      </c>
      <c r="B291" t="inlineStr">
        <is>
          <t>BF241 .D63</t>
        </is>
      </c>
      <c r="C291" t="inlineStr">
        <is>
          <t>0                      BF 0241000D  63</t>
        </is>
      </c>
      <c r="D291" t="inlineStr">
        <is>
          <t>Living in a world transformed : perceptual and performatory adaptation to visual distortion / Hubert Dolezal.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Dolezal, Hubert.</t>
        </is>
      </c>
      <c r="L291" t="inlineStr">
        <is>
          <t>New York, NY : Academic Press, 1982.</t>
        </is>
      </c>
      <c r="M291" t="inlineStr">
        <is>
          <t>1982</t>
        </is>
      </c>
      <c r="O291" t="inlineStr">
        <is>
          <t>eng</t>
        </is>
      </c>
      <c r="P291" t="inlineStr">
        <is>
          <t>nyu</t>
        </is>
      </c>
      <c r="Q291" t="inlineStr">
        <is>
          <t>Academic Press series in cognition and perception</t>
        </is>
      </c>
      <c r="R291" t="inlineStr">
        <is>
          <t xml:space="preserve">BF </t>
        </is>
      </c>
      <c r="S291" t="n">
        <v>4</v>
      </c>
      <c r="T291" t="n">
        <v>4</v>
      </c>
      <c r="U291" t="inlineStr">
        <is>
          <t>1994-09-24</t>
        </is>
      </c>
      <c r="V291" t="inlineStr">
        <is>
          <t>1994-09-24</t>
        </is>
      </c>
      <c r="W291" t="inlineStr">
        <is>
          <t>1991-05-01</t>
        </is>
      </c>
      <c r="X291" t="inlineStr">
        <is>
          <t>1991-05-01</t>
        </is>
      </c>
      <c r="Y291" t="n">
        <v>349</v>
      </c>
      <c r="Z291" t="n">
        <v>275</v>
      </c>
      <c r="AA291" t="n">
        <v>283</v>
      </c>
      <c r="AB291" t="n">
        <v>3</v>
      </c>
      <c r="AC291" t="n">
        <v>3</v>
      </c>
      <c r="AD291" t="n">
        <v>12</v>
      </c>
      <c r="AE291" t="n">
        <v>12</v>
      </c>
      <c r="AF291" t="n">
        <v>3</v>
      </c>
      <c r="AG291" t="n">
        <v>3</v>
      </c>
      <c r="AH291" t="n">
        <v>5</v>
      </c>
      <c r="AI291" t="n">
        <v>5</v>
      </c>
      <c r="AJ291" t="n">
        <v>5</v>
      </c>
      <c r="AK291" t="n">
        <v>5</v>
      </c>
      <c r="AL291" t="n">
        <v>2</v>
      </c>
      <c r="AM291" t="n">
        <v>2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HYPERLINK("http://catalog.hathitrust.org/Record/000187125","HathiTrust Record")</f>
        <v/>
      </c>
      <c r="AS291">
        <f>HYPERLINK("https://creighton-primo.hosted.exlibrisgroup.com/primo-explore/search?tab=default_tab&amp;search_scope=EVERYTHING&amp;vid=01CRU&amp;lang=en_US&amp;offset=0&amp;query=any,contains,991005161759702656","Catalog Record")</f>
        <v/>
      </c>
      <c r="AT291">
        <f>HYPERLINK("http://www.worldcat.org/oclc/7795608","WorldCat Record")</f>
        <v/>
      </c>
      <c r="AU291" t="inlineStr">
        <is>
          <t>408873:eng</t>
        </is>
      </c>
      <c r="AV291" t="inlineStr">
        <is>
          <t>7795608</t>
        </is>
      </c>
      <c r="AW291" t="inlineStr">
        <is>
          <t>991005161759702656</t>
        </is>
      </c>
      <c r="AX291" t="inlineStr">
        <is>
          <t>991005161759702656</t>
        </is>
      </c>
      <c r="AY291" t="inlineStr">
        <is>
          <t>2267985290002656</t>
        </is>
      </c>
      <c r="AZ291" t="inlineStr">
        <is>
          <t>BOOK</t>
        </is>
      </c>
      <c r="BB291" t="inlineStr">
        <is>
          <t>9780122199509</t>
        </is>
      </c>
      <c r="BC291" t="inlineStr">
        <is>
          <t>32285000589761</t>
        </is>
      </c>
      <c r="BD291" t="inlineStr">
        <is>
          <t>893902220</t>
        </is>
      </c>
    </row>
    <row r="292">
      <c r="A292" t="inlineStr">
        <is>
          <t>No</t>
        </is>
      </c>
      <c r="B292" t="inlineStr">
        <is>
          <t>BF241 .F7 1980</t>
        </is>
      </c>
      <c r="C292" t="inlineStr">
        <is>
          <t>0                      BF 0241000F  7           1980</t>
        </is>
      </c>
      <c r="D292" t="inlineStr">
        <is>
          <t>Seeing : illusion, brain and mind / John P. Frisby.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Frisby, John P.</t>
        </is>
      </c>
      <c r="L292" t="inlineStr">
        <is>
          <t>Oxford ; New York : Oxford Univ. Press, 1980, c1979.</t>
        </is>
      </c>
      <c r="M292" t="inlineStr">
        <is>
          <t>1980</t>
        </is>
      </c>
      <c r="O292" t="inlineStr">
        <is>
          <t>eng</t>
        </is>
      </c>
      <c r="P292" t="inlineStr">
        <is>
          <t>enk</t>
        </is>
      </c>
      <c r="R292" t="inlineStr">
        <is>
          <t xml:space="preserve">BF </t>
        </is>
      </c>
      <c r="S292" t="n">
        <v>9</v>
      </c>
      <c r="T292" t="n">
        <v>9</v>
      </c>
      <c r="U292" t="inlineStr">
        <is>
          <t>1999-02-11</t>
        </is>
      </c>
      <c r="V292" t="inlineStr">
        <is>
          <t>1999-02-11</t>
        </is>
      </c>
      <c r="W292" t="inlineStr">
        <is>
          <t>1991-05-01</t>
        </is>
      </c>
      <c r="X292" t="inlineStr">
        <is>
          <t>1991-05-01</t>
        </is>
      </c>
      <c r="Y292" t="n">
        <v>901</v>
      </c>
      <c r="Z292" t="n">
        <v>810</v>
      </c>
      <c r="AA292" t="n">
        <v>886</v>
      </c>
      <c r="AB292" t="n">
        <v>6</v>
      </c>
      <c r="AC292" t="n">
        <v>6</v>
      </c>
      <c r="AD292" t="n">
        <v>22</v>
      </c>
      <c r="AE292" t="n">
        <v>24</v>
      </c>
      <c r="AF292" t="n">
        <v>8</v>
      </c>
      <c r="AG292" t="n">
        <v>9</v>
      </c>
      <c r="AH292" t="n">
        <v>7</v>
      </c>
      <c r="AI292" t="n">
        <v>8</v>
      </c>
      <c r="AJ292" t="n">
        <v>8</v>
      </c>
      <c r="AK292" t="n">
        <v>10</v>
      </c>
      <c r="AL292" t="n">
        <v>3</v>
      </c>
      <c r="AM292" t="n">
        <v>3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HYPERLINK("https://creighton-primo.hosted.exlibrisgroup.com/primo-explore/search?tab=default_tab&amp;search_scope=EVERYTHING&amp;vid=01CRU&amp;lang=en_US&amp;offset=0&amp;query=any,contains,991004874619702656","Catalog Record")</f>
        <v/>
      </c>
      <c r="AT292">
        <f>HYPERLINK("http://www.worldcat.org/oclc/5777919","WorldCat Record")</f>
        <v/>
      </c>
      <c r="AU292" t="inlineStr">
        <is>
          <t>414271:eng</t>
        </is>
      </c>
      <c r="AV292" t="inlineStr">
        <is>
          <t>5777919</t>
        </is>
      </c>
      <c r="AW292" t="inlineStr">
        <is>
          <t>991004874619702656</t>
        </is>
      </c>
      <c r="AX292" t="inlineStr">
        <is>
          <t>991004874619702656</t>
        </is>
      </c>
      <c r="AY292" t="inlineStr">
        <is>
          <t>2258687750002656</t>
        </is>
      </c>
      <c r="AZ292" t="inlineStr">
        <is>
          <t>BOOK</t>
        </is>
      </c>
      <c r="BB292" t="inlineStr">
        <is>
          <t>9780192176721</t>
        </is>
      </c>
      <c r="BC292" t="inlineStr">
        <is>
          <t>32285000589795</t>
        </is>
      </c>
      <c r="BD292" t="inlineStr">
        <is>
          <t>893810732</t>
        </is>
      </c>
    </row>
    <row r="293">
      <c r="A293" t="inlineStr">
        <is>
          <t>No</t>
        </is>
      </c>
      <c r="B293" t="inlineStr">
        <is>
          <t>BF241 .G7</t>
        </is>
      </c>
      <c r="C293" t="inlineStr">
        <is>
          <t>0                      BF 0241000G  7</t>
        </is>
      </c>
      <c r="D293" t="inlineStr">
        <is>
          <t>Eye and brain; the psychology of seeing [by] R. L. Gregory.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Gregory, R. L. (Richard Langton)</t>
        </is>
      </c>
      <c r="L293" t="inlineStr">
        <is>
          <t>New York, McGraw-Hill [1966]</t>
        </is>
      </c>
      <c r="M293" t="inlineStr">
        <is>
          <t>1966</t>
        </is>
      </c>
      <c r="O293" t="inlineStr">
        <is>
          <t>eng</t>
        </is>
      </c>
      <c r="P293" t="inlineStr">
        <is>
          <t>nyu</t>
        </is>
      </c>
      <c r="Q293" t="inlineStr">
        <is>
          <t>World university library</t>
        </is>
      </c>
      <c r="R293" t="inlineStr">
        <is>
          <t xml:space="preserve">BF </t>
        </is>
      </c>
      <c r="S293" t="n">
        <v>5</v>
      </c>
      <c r="T293" t="n">
        <v>5</v>
      </c>
      <c r="U293" t="inlineStr">
        <is>
          <t>1995-02-19</t>
        </is>
      </c>
      <c r="V293" t="inlineStr">
        <is>
          <t>1995-02-19</t>
        </is>
      </c>
      <c r="W293" t="inlineStr">
        <is>
          <t>1992-02-21</t>
        </is>
      </c>
      <c r="X293" t="inlineStr">
        <is>
          <t>1992-02-21</t>
        </is>
      </c>
      <c r="Y293" t="n">
        <v>763</v>
      </c>
      <c r="Z293" t="n">
        <v>695</v>
      </c>
      <c r="AA293" t="n">
        <v>1637</v>
      </c>
      <c r="AB293" t="n">
        <v>4</v>
      </c>
      <c r="AC293" t="n">
        <v>7</v>
      </c>
      <c r="AD293" t="n">
        <v>26</v>
      </c>
      <c r="AE293" t="n">
        <v>45</v>
      </c>
      <c r="AF293" t="n">
        <v>11</v>
      </c>
      <c r="AG293" t="n">
        <v>20</v>
      </c>
      <c r="AH293" t="n">
        <v>7</v>
      </c>
      <c r="AI293" t="n">
        <v>10</v>
      </c>
      <c r="AJ293" t="n">
        <v>12</v>
      </c>
      <c r="AK293" t="n">
        <v>22</v>
      </c>
      <c r="AL293" t="n">
        <v>2</v>
      </c>
      <c r="AM293" t="n">
        <v>4</v>
      </c>
      <c r="AN293" t="n">
        <v>0</v>
      </c>
      <c r="AO293" t="n">
        <v>0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HYPERLINK("http://catalog.hathitrust.org/Record/000662536","HathiTrust Record")</f>
        <v/>
      </c>
      <c r="AS293">
        <f>HYPERLINK("https://creighton-primo.hosted.exlibrisgroup.com/primo-explore/search?tab=default_tab&amp;search_scope=EVERYTHING&amp;vid=01CRU&amp;lang=en_US&amp;offset=0&amp;query=any,contains,991001374659702656","Catalog Record")</f>
        <v/>
      </c>
      <c r="AT293">
        <f>HYPERLINK("http://www.worldcat.org/oclc/224601","WorldCat Record")</f>
        <v/>
      </c>
      <c r="AU293" t="inlineStr">
        <is>
          <t>12748783:eng</t>
        </is>
      </c>
      <c r="AV293" t="inlineStr">
        <is>
          <t>224601</t>
        </is>
      </c>
      <c r="AW293" t="inlineStr">
        <is>
          <t>991001374659702656</t>
        </is>
      </c>
      <c r="AX293" t="inlineStr">
        <is>
          <t>991001374659702656</t>
        </is>
      </c>
      <c r="AY293" t="inlineStr">
        <is>
          <t>2263628610002656</t>
        </is>
      </c>
      <c r="AZ293" t="inlineStr">
        <is>
          <t>BOOK</t>
        </is>
      </c>
      <c r="BC293" t="inlineStr">
        <is>
          <t>32285000948447</t>
        </is>
      </c>
      <c r="BD293" t="inlineStr">
        <is>
          <t>893626661</t>
        </is>
      </c>
    </row>
    <row r="294">
      <c r="A294" t="inlineStr">
        <is>
          <t>No</t>
        </is>
      </c>
      <c r="B294" t="inlineStr">
        <is>
          <t>BF241 .H26</t>
        </is>
      </c>
      <c r="C294" t="inlineStr">
        <is>
          <t>0                      BF 0241000H  26</t>
        </is>
      </c>
      <c r="D294" t="inlineStr">
        <is>
          <t>Information-processing approaches to visual perception.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Haber, Ralph Norman, compiler.</t>
        </is>
      </c>
      <c r="L294" t="inlineStr">
        <is>
          <t>New York : Holt, Rinehart and Winston, [1969]</t>
        </is>
      </c>
      <c r="M294" t="inlineStr">
        <is>
          <t>1969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BF </t>
        </is>
      </c>
      <c r="S294" t="n">
        <v>2</v>
      </c>
      <c r="T294" t="n">
        <v>2</v>
      </c>
      <c r="U294" t="inlineStr">
        <is>
          <t>1997-12-29</t>
        </is>
      </c>
      <c r="V294" t="inlineStr">
        <is>
          <t>1997-12-29</t>
        </is>
      </c>
      <c r="W294" t="inlineStr">
        <is>
          <t>1992-04-15</t>
        </is>
      </c>
      <c r="X294" t="inlineStr">
        <is>
          <t>1992-04-15</t>
        </is>
      </c>
      <c r="Y294" t="n">
        <v>573</v>
      </c>
      <c r="Z294" t="n">
        <v>427</v>
      </c>
      <c r="AA294" t="n">
        <v>428</v>
      </c>
      <c r="AB294" t="n">
        <v>3</v>
      </c>
      <c r="AC294" t="n">
        <v>3</v>
      </c>
      <c r="AD294" t="n">
        <v>17</v>
      </c>
      <c r="AE294" t="n">
        <v>17</v>
      </c>
      <c r="AF294" t="n">
        <v>5</v>
      </c>
      <c r="AG294" t="n">
        <v>5</v>
      </c>
      <c r="AH294" t="n">
        <v>4</v>
      </c>
      <c r="AI294" t="n">
        <v>4</v>
      </c>
      <c r="AJ294" t="n">
        <v>10</v>
      </c>
      <c r="AK294" t="n">
        <v>10</v>
      </c>
      <c r="AL294" t="n">
        <v>2</v>
      </c>
      <c r="AM294" t="n">
        <v>2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HYPERLINK("http://catalog.hathitrust.org/Record/000662718","HathiTrust Record")</f>
        <v/>
      </c>
      <c r="AS294">
        <f>HYPERLINK("https://creighton-primo.hosted.exlibrisgroup.com/primo-explore/search?tab=default_tab&amp;search_scope=EVERYTHING&amp;vid=01CRU&amp;lang=en_US&amp;offset=0&amp;query=any,contains,991000052479702656","Catalog Record")</f>
        <v/>
      </c>
      <c r="AT294">
        <f>HYPERLINK("http://www.worldcat.org/oclc/22918","WorldCat Record")</f>
        <v/>
      </c>
      <c r="AU294" t="inlineStr">
        <is>
          <t>1145096:eng</t>
        </is>
      </c>
      <c r="AV294" t="inlineStr">
        <is>
          <t>22918</t>
        </is>
      </c>
      <c r="AW294" t="inlineStr">
        <is>
          <t>991000052479702656</t>
        </is>
      </c>
      <c r="AX294" t="inlineStr">
        <is>
          <t>991000052479702656</t>
        </is>
      </c>
      <c r="AY294" t="inlineStr">
        <is>
          <t>2268227280002656</t>
        </is>
      </c>
      <c r="AZ294" t="inlineStr">
        <is>
          <t>BOOK</t>
        </is>
      </c>
      <c r="BB294" t="inlineStr">
        <is>
          <t>9780030745553</t>
        </is>
      </c>
      <c r="BC294" t="inlineStr">
        <is>
          <t>32285001062354</t>
        </is>
      </c>
      <c r="BD294" t="inlineStr">
        <is>
          <t>893521341</t>
        </is>
      </c>
    </row>
    <row r="295">
      <c r="A295" t="inlineStr">
        <is>
          <t>No</t>
        </is>
      </c>
      <c r="B295" t="inlineStr">
        <is>
          <t>BF241 .M56 1986</t>
        </is>
      </c>
      <c r="C295" t="inlineStr">
        <is>
          <t>0                      BF 0241000M  56          1986</t>
        </is>
      </c>
      <c r="D295" t="inlineStr">
        <is>
          <t>The Mind's eye : readings from Scientific American / with introductions by Jeremy M. Wolfe.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L295" t="inlineStr">
        <is>
          <t>New York : W.H. Freeman, c1986.</t>
        </is>
      </c>
      <c r="M295" t="inlineStr">
        <is>
          <t>1986</t>
        </is>
      </c>
      <c r="O295" t="inlineStr">
        <is>
          <t>eng</t>
        </is>
      </c>
      <c r="P295" t="inlineStr">
        <is>
          <t>nyu</t>
        </is>
      </c>
      <c r="R295" t="inlineStr">
        <is>
          <t xml:space="preserve">BF </t>
        </is>
      </c>
      <c r="S295" t="n">
        <v>7</v>
      </c>
      <c r="T295" t="n">
        <v>7</v>
      </c>
      <c r="U295" t="inlineStr">
        <is>
          <t>1999-02-14</t>
        </is>
      </c>
      <c r="V295" t="inlineStr">
        <is>
          <t>1999-02-14</t>
        </is>
      </c>
      <c r="W295" t="inlineStr">
        <is>
          <t>1991-05-01</t>
        </is>
      </c>
      <c r="X295" t="inlineStr">
        <is>
          <t>1991-05-01</t>
        </is>
      </c>
      <c r="Y295" t="n">
        <v>518</v>
      </c>
      <c r="Z295" t="n">
        <v>448</v>
      </c>
      <c r="AA295" t="n">
        <v>453</v>
      </c>
      <c r="AB295" t="n">
        <v>4</v>
      </c>
      <c r="AC295" t="n">
        <v>4</v>
      </c>
      <c r="AD295" t="n">
        <v>13</v>
      </c>
      <c r="AE295" t="n">
        <v>13</v>
      </c>
      <c r="AF295" t="n">
        <v>2</v>
      </c>
      <c r="AG295" t="n">
        <v>2</v>
      </c>
      <c r="AH295" t="n">
        <v>1</v>
      </c>
      <c r="AI295" t="n">
        <v>1</v>
      </c>
      <c r="AJ295" t="n">
        <v>10</v>
      </c>
      <c r="AK295" t="n">
        <v>10</v>
      </c>
      <c r="AL295" t="n">
        <v>2</v>
      </c>
      <c r="AM295" t="n">
        <v>2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HYPERLINK("https://creighton-primo.hosted.exlibrisgroup.com/primo-explore/search?tab=default_tab&amp;search_scope=EVERYTHING&amp;vid=01CRU&amp;lang=en_US&amp;offset=0&amp;query=any,contains,991000675299702656","Catalog Record")</f>
        <v/>
      </c>
      <c r="AT295">
        <f>HYPERLINK("http://www.worldcat.org/oclc/12344552","WorldCat Record")</f>
        <v/>
      </c>
      <c r="AU295" t="inlineStr">
        <is>
          <t>5163817245:eng</t>
        </is>
      </c>
      <c r="AV295" t="inlineStr">
        <is>
          <t>12344552</t>
        </is>
      </c>
      <c r="AW295" t="inlineStr">
        <is>
          <t>991000675299702656</t>
        </is>
      </c>
      <c r="AX295" t="inlineStr">
        <is>
          <t>991000675299702656</t>
        </is>
      </c>
      <c r="AY295" t="inlineStr">
        <is>
          <t>2265262460002656</t>
        </is>
      </c>
      <c r="AZ295" t="inlineStr">
        <is>
          <t>BOOK</t>
        </is>
      </c>
      <c r="BB295" t="inlineStr">
        <is>
          <t>9780716717546</t>
        </is>
      </c>
      <c r="BC295" t="inlineStr">
        <is>
          <t>32285000589811</t>
        </is>
      </c>
      <c r="BD295" t="inlineStr">
        <is>
          <t>893620693</t>
        </is>
      </c>
    </row>
    <row r="296">
      <c r="A296" t="inlineStr">
        <is>
          <t>No</t>
        </is>
      </c>
      <c r="B296" t="inlineStr">
        <is>
          <t>BF241 .P437 1998</t>
        </is>
      </c>
      <c r="C296" t="inlineStr">
        <is>
          <t>0                      BF 0241000P  437         1998</t>
        </is>
      </c>
      <c r="D296" t="inlineStr">
        <is>
          <t>Perceptual constancy : why things look as they do / edited by Vincent Walsh, Janusz Kulikowski.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L296" t="inlineStr">
        <is>
          <t>Cambridge, UK ; New York, NY, USA : Cambridge University Press, 1998.</t>
        </is>
      </c>
      <c r="M296" t="inlineStr">
        <is>
          <t>1998</t>
        </is>
      </c>
      <c r="O296" t="inlineStr">
        <is>
          <t>eng</t>
        </is>
      </c>
      <c r="P296" t="inlineStr">
        <is>
          <t>enk</t>
        </is>
      </c>
      <c r="R296" t="inlineStr">
        <is>
          <t xml:space="preserve">BF </t>
        </is>
      </c>
      <c r="S296" t="n">
        <v>5</v>
      </c>
      <c r="T296" t="n">
        <v>5</v>
      </c>
      <c r="U296" t="inlineStr">
        <is>
          <t>2005-02-23</t>
        </is>
      </c>
      <c r="V296" t="inlineStr">
        <is>
          <t>2005-02-23</t>
        </is>
      </c>
      <c r="W296" t="inlineStr">
        <is>
          <t>1999-11-04</t>
        </is>
      </c>
      <c r="X296" t="inlineStr">
        <is>
          <t>1999-11-04</t>
        </is>
      </c>
      <c r="Y296" t="n">
        <v>478</v>
      </c>
      <c r="Z296" t="n">
        <v>370</v>
      </c>
      <c r="AA296" t="n">
        <v>385</v>
      </c>
      <c r="AB296" t="n">
        <v>4</v>
      </c>
      <c r="AC296" t="n">
        <v>4</v>
      </c>
      <c r="AD296" t="n">
        <v>21</v>
      </c>
      <c r="AE296" t="n">
        <v>22</v>
      </c>
      <c r="AF296" t="n">
        <v>9</v>
      </c>
      <c r="AG296" t="n">
        <v>9</v>
      </c>
      <c r="AH296" t="n">
        <v>4</v>
      </c>
      <c r="AI296" t="n">
        <v>5</v>
      </c>
      <c r="AJ296" t="n">
        <v>12</v>
      </c>
      <c r="AK296" t="n">
        <v>12</v>
      </c>
      <c r="AL296" t="n">
        <v>3</v>
      </c>
      <c r="AM296" t="n">
        <v>3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HYPERLINK("https://creighton-primo.hosted.exlibrisgroup.com/primo-explore/search?tab=default_tab&amp;search_scope=EVERYTHING&amp;vid=01CRU&amp;lang=en_US&amp;offset=0&amp;query=any,contains,991002784989702656","Catalog Record")</f>
        <v/>
      </c>
      <c r="AT296">
        <f>HYPERLINK("http://www.worldcat.org/oclc/36573610","WorldCat Record")</f>
        <v/>
      </c>
      <c r="AU296" t="inlineStr">
        <is>
          <t>795072496:eng</t>
        </is>
      </c>
      <c r="AV296" t="inlineStr">
        <is>
          <t>36573610</t>
        </is>
      </c>
      <c r="AW296" t="inlineStr">
        <is>
          <t>991002784989702656</t>
        </is>
      </c>
      <c r="AX296" t="inlineStr">
        <is>
          <t>991002784989702656</t>
        </is>
      </c>
      <c r="AY296" t="inlineStr">
        <is>
          <t>2266316200002656</t>
        </is>
      </c>
      <c r="AZ296" t="inlineStr">
        <is>
          <t>BOOK</t>
        </is>
      </c>
      <c r="BB296" t="inlineStr">
        <is>
          <t>9780521460613</t>
        </is>
      </c>
      <c r="BC296" t="inlineStr">
        <is>
          <t>32285003618070</t>
        </is>
      </c>
      <c r="BD296" t="inlineStr">
        <is>
          <t>893227276</t>
        </is>
      </c>
    </row>
    <row r="297">
      <c r="A297" t="inlineStr">
        <is>
          <t>No</t>
        </is>
      </c>
      <c r="B297" t="inlineStr">
        <is>
          <t>BF241 .R44 1988</t>
        </is>
      </c>
      <c r="C297" t="inlineStr">
        <is>
          <t>0                      BF 0241000R  44          1988</t>
        </is>
      </c>
      <c r="D297" t="inlineStr">
        <is>
          <t>James J. Gibson and the psychology of perception / Edward S. Reed.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Reed, Edward (Edward S.)</t>
        </is>
      </c>
      <c r="L297" t="inlineStr">
        <is>
          <t>New Haven : Yale University Press, c1988.</t>
        </is>
      </c>
      <c r="M297" t="inlineStr">
        <is>
          <t>1988</t>
        </is>
      </c>
      <c r="O297" t="inlineStr">
        <is>
          <t>eng</t>
        </is>
      </c>
      <c r="P297" t="inlineStr">
        <is>
          <t>ctu</t>
        </is>
      </c>
      <c r="R297" t="inlineStr">
        <is>
          <t xml:space="preserve">BF </t>
        </is>
      </c>
      <c r="S297" t="n">
        <v>6</v>
      </c>
      <c r="T297" t="n">
        <v>6</v>
      </c>
      <c r="U297" t="inlineStr">
        <is>
          <t>1999-04-19</t>
        </is>
      </c>
      <c r="V297" t="inlineStr">
        <is>
          <t>1999-04-19</t>
        </is>
      </c>
      <c r="W297" t="inlineStr">
        <is>
          <t>1990-05-08</t>
        </is>
      </c>
      <c r="X297" t="inlineStr">
        <is>
          <t>1990-05-08</t>
        </is>
      </c>
      <c r="Y297" t="n">
        <v>613</v>
      </c>
      <c r="Z297" t="n">
        <v>480</v>
      </c>
      <c r="AA297" t="n">
        <v>633</v>
      </c>
      <c r="AB297" t="n">
        <v>4</v>
      </c>
      <c r="AC297" t="n">
        <v>4</v>
      </c>
      <c r="AD297" t="n">
        <v>26</v>
      </c>
      <c r="AE297" t="n">
        <v>33</v>
      </c>
      <c r="AF297" t="n">
        <v>5</v>
      </c>
      <c r="AG297" t="n">
        <v>12</v>
      </c>
      <c r="AH297" t="n">
        <v>9</v>
      </c>
      <c r="AI297" t="n">
        <v>10</v>
      </c>
      <c r="AJ297" t="n">
        <v>17</v>
      </c>
      <c r="AK297" t="n">
        <v>19</v>
      </c>
      <c r="AL297" t="n">
        <v>3</v>
      </c>
      <c r="AM297" t="n">
        <v>3</v>
      </c>
      <c r="AN297" t="n">
        <v>0</v>
      </c>
      <c r="AO297" t="n">
        <v>0</v>
      </c>
      <c r="AP297" t="inlineStr">
        <is>
          <t>No</t>
        </is>
      </c>
      <c r="AQ297" t="inlineStr">
        <is>
          <t>No</t>
        </is>
      </c>
      <c r="AS297">
        <f>HYPERLINK("https://creighton-primo.hosted.exlibrisgroup.com/primo-explore/search?tab=default_tab&amp;search_scope=EVERYTHING&amp;vid=01CRU&amp;lang=en_US&amp;offset=0&amp;query=any,contains,991001260829702656","Catalog Record")</f>
        <v/>
      </c>
      <c r="AT297">
        <f>HYPERLINK("http://www.worldcat.org/oclc/17767369","WorldCat Record")</f>
        <v/>
      </c>
      <c r="AU297" t="inlineStr">
        <is>
          <t>16524358:eng</t>
        </is>
      </c>
      <c r="AV297" t="inlineStr">
        <is>
          <t>17767369</t>
        </is>
      </c>
      <c r="AW297" t="inlineStr">
        <is>
          <t>991001260829702656</t>
        </is>
      </c>
      <c r="AX297" t="inlineStr">
        <is>
          <t>991001260829702656</t>
        </is>
      </c>
      <c r="AY297" t="inlineStr">
        <is>
          <t>2256949220002656</t>
        </is>
      </c>
      <c r="AZ297" t="inlineStr">
        <is>
          <t>BOOK</t>
        </is>
      </c>
      <c r="BB297" t="inlineStr">
        <is>
          <t>9780300042894</t>
        </is>
      </c>
      <c r="BC297" t="inlineStr">
        <is>
          <t>32285000135169</t>
        </is>
      </c>
      <c r="BD297" t="inlineStr">
        <is>
          <t>893225744</t>
        </is>
      </c>
    </row>
    <row r="298">
      <c r="A298" t="inlineStr">
        <is>
          <t>No</t>
        </is>
      </c>
      <c r="B298" t="inlineStr">
        <is>
          <t>BF241 .W4</t>
        </is>
      </c>
      <c r="C298" t="inlineStr">
        <is>
          <t>0                      BF 0241000W  4</t>
        </is>
      </c>
      <c r="D298" t="inlineStr">
        <is>
          <t>Perception [by] Daniel J. Weintraub [and] Edward L. Walker.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Weintraub, Daniel J.</t>
        </is>
      </c>
      <c r="L298" t="inlineStr">
        <is>
          <t>Belmont, Calif., Brooks/Cole Pub. Co. [1966]</t>
        </is>
      </c>
      <c r="M298" t="inlineStr">
        <is>
          <t>1966</t>
        </is>
      </c>
      <c r="O298" t="inlineStr">
        <is>
          <t>eng</t>
        </is>
      </c>
      <c r="P298" t="inlineStr">
        <is>
          <t>cau</t>
        </is>
      </c>
      <c r="Q298" t="inlineStr">
        <is>
          <t>Basic concepts in psychology series</t>
        </is>
      </c>
      <c r="R298" t="inlineStr">
        <is>
          <t xml:space="preserve">BF </t>
        </is>
      </c>
      <c r="S298" t="n">
        <v>3</v>
      </c>
      <c r="T298" t="n">
        <v>3</v>
      </c>
      <c r="U298" t="inlineStr">
        <is>
          <t>1996-04-09</t>
        </is>
      </c>
      <c r="V298" t="inlineStr">
        <is>
          <t>1996-04-09</t>
        </is>
      </c>
      <c r="W298" t="inlineStr">
        <is>
          <t>1992-04-16</t>
        </is>
      </c>
      <c r="X298" t="inlineStr">
        <is>
          <t>1992-04-16</t>
        </is>
      </c>
      <c r="Y298" t="n">
        <v>427</v>
      </c>
      <c r="Z298" t="n">
        <v>316</v>
      </c>
      <c r="AA298" t="n">
        <v>321</v>
      </c>
      <c r="AB298" t="n">
        <v>4</v>
      </c>
      <c r="AC298" t="n">
        <v>4</v>
      </c>
      <c r="AD298" t="n">
        <v>14</v>
      </c>
      <c r="AE298" t="n">
        <v>14</v>
      </c>
      <c r="AF298" t="n">
        <v>4</v>
      </c>
      <c r="AG298" t="n">
        <v>4</v>
      </c>
      <c r="AH298" t="n">
        <v>2</v>
      </c>
      <c r="AI298" t="n">
        <v>2</v>
      </c>
      <c r="AJ298" t="n">
        <v>8</v>
      </c>
      <c r="AK298" t="n">
        <v>8</v>
      </c>
      <c r="AL298" t="n">
        <v>2</v>
      </c>
      <c r="AM298" t="n">
        <v>2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HYPERLINK("http://catalog.hathitrust.org/Record/000662352","HathiTrust Record")</f>
        <v/>
      </c>
      <c r="AS298">
        <f>HYPERLINK("https://creighton-primo.hosted.exlibrisgroup.com/primo-explore/search?tab=default_tab&amp;search_scope=EVERYTHING&amp;vid=01CRU&amp;lang=en_US&amp;offset=0&amp;query=any,contains,991003480239702656","Catalog Record")</f>
        <v/>
      </c>
      <c r="AT298">
        <f>HYPERLINK("http://www.worldcat.org/oclc/1027169","WorldCat Record")</f>
        <v/>
      </c>
      <c r="AU298" t="inlineStr">
        <is>
          <t>1962924:eng</t>
        </is>
      </c>
      <c r="AV298" t="inlineStr">
        <is>
          <t>1027169</t>
        </is>
      </c>
      <c r="AW298" t="inlineStr">
        <is>
          <t>991003480239702656</t>
        </is>
      </c>
      <c r="AX298" t="inlineStr">
        <is>
          <t>991003480239702656</t>
        </is>
      </c>
      <c r="AY298" t="inlineStr">
        <is>
          <t>2255800500002656</t>
        </is>
      </c>
      <c r="AZ298" t="inlineStr">
        <is>
          <t>BOOK</t>
        </is>
      </c>
      <c r="BC298" t="inlineStr">
        <is>
          <t>32285001053536</t>
        </is>
      </c>
      <c r="BD298" t="inlineStr">
        <is>
          <t>893592561</t>
        </is>
      </c>
    </row>
    <row r="299">
      <c r="A299" t="inlineStr">
        <is>
          <t>No</t>
        </is>
      </c>
      <c r="B299" t="inlineStr">
        <is>
          <t>BF251 .M66 1982</t>
        </is>
      </c>
      <c r="C299" t="inlineStr">
        <is>
          <t>0                      BF 0251000M  66          1982</t>
        </is>
      </c>
      <c r="D299" t="inlineStr">
        <is>
          <t>An introduction to the psychology of hearing / Brian C.J. Moore.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Yes</t>
        </is>
      </c>
      <c r="J299" t="inlineStr">
        <is>
          <t>0</t>
        </is>
      </c>
      <c r="K299" t="inlineStr">
        <is>
          <t>Moore, Brian C. J.</t>
        </is>
      </c>
      <c r="L299" t="inlineStr">
        <is>
          <t>London ; New York : Academic Press, 1982.</t>
        </is>
      </c>
      <c r="M299" t="inlineStr">
        <is>
          <t>1982</t>
        </is>
      </c>
      <c r="N299" t="inlineStr">
        <is>
          <t>2nd ed.</t>
        </is>
      </c>
      <c r="O299" t="inlineStr">
        <is>
          <t>eng</t>
        </is>
      </c>
      <c r="P299" t="inlineStr">
        <is>
          <t>enk</t>
        </is>
      </c>
      <c r="R299" t="inlineStr">
        <is>
          <t xml:space="preserve">BF </t>
        </is>
      </c>
      <c r="S299" t="n">
        <v>2</v>
      </c>
      <c r="T299" t="n">
        <v>2</v>
      </c>
      <c r="U299" t="inlineStr">
        <is>
          <t>1995-11-14</t>
        </is>
      </c>
      <c r="V299" t="inlineStr">
        <is>
          <t>1995-11-14</t>
        </is>
      </c>
      <c r="W299" t="inlineStr">
        <is>
          <t>1991-05-01</t>
        </is>
      </c>
      <c r="X299" t="inlineStr">
        <is>
          <t>1991-05-01</t>
        </is>
      </c>
      <c r="Y299" t="n">
        <v>384</v>
      </c>
      <c r="Z299" t="n">
        <v>261</v>
      </c>
      <c r="AA299" t="n">
        <v>676</v>
      </c>
      <c r="AB299" t="n">
        <v>2</v>
      </c>
      <c r="AC299" t="n">
        <v>4</v>
      </c>
      <c r="AD299" t="n">
        <v>11</v>
      </c>
      <c r="AE299" t="n">
        <v>34</v>
      </c>
      <c r="AF299" t="n">
        <v>2</v>
      </c>
      <c r="AG299" t="n">
        <v>15</v>
      </c>
      <c r="AH299" t="n">
        <v>4</v>
      </c>
      <c r="AI299" t="n">
        <v>9</v>
      </c>
      <c r="AJ299" t="n">
        <v>7</v>
      </c>
      <c r="AK299" t="n">
        <v>15</v>
      </c>
      <c r="AL299" t="n">
        <v>1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HYPERLINK("http://catalog.hathitrust.org/Record/000266180","HathiTrust Record")</f>
        <v/>
      </c>
      <c r="AS299">
        <f>HYPERLINK("https://creighton-primo.hosted.exlibrisgroup.com/primo-explore/search?tab=default_tab&amp;search_scope=EVERYTHING&amp;vid=01CRU&amp;lang=en_US&amp;offset=0&amp;query=any,contains,991000053789702656","Catalog Record")</f>
        <v/>
      </c>
      <c r="AT299">
        <f>HYPERLINK("http://www.worldcat.org/oclc/8699261","WorldCat Record")</f>
        <v/>
      </c>
      <c r="AU299" t="inlineStr">
        <is>
          <t>655816:eng</t>
        </is>
      </c>
      <c r="AV299" t="inlineStr">
        <is>
          <t>8699261</t>
        </is>
      </c>
      <c r="AW299" t="inlineStr">
        <is>
          <t>991000053789702656</t>
        </is>
      </c>
      <c r="AX299" t="inlineStr">
        <is>
          <t>991000053789702656</t>
        </is>
      </c>
      <c r="AY299" t="inlineStr">
        <is>
          <t>2271652410002656</t>
        </is>
      </c>
      <c r="AZ299" t="inlineStr">
        <is>
          <t>BOOK</t>
        </is>
      </c>
      <c r="BB299" t="inlineStr">
        <is>
          <t>9780125056205</t>
        </is>
      </c>
      <c r="BC299" t="inlineStr">
        <is>
          <t>32285000589852</t>
        </is>
      </c>
      <c r="BD299" t="inlineStr">
        <is>
          <t>893708054</t>
        </is>
      </c>
    </row>
    <row r="300">
      <c r="A300" t="inlineStr">
        <is>
          <t>No</t>
        </is>
      </c>
      <c r="B300" t="inlineStr">
        <is>
          <t>BF292 .A4</t>
        </is>
      </c>
      <c r="C300" t="inlineStr">
        <is>
          <t>0                      BF 0292000A  4</t>
        </is>
      </c>
      <c r="D300" t="inlineStr">
        <is>
          <t>Sensory processes / [by] Mathew Alpern, Merle Lawrence [and] David Wolsk.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Alpern, Mathew.</t>
        </is>
      </c>
      <c r="L300" t="inlineStr">
        <is>
          <t>Belmont, Calif. : Brooks/Cole Pub. Co., [1967]</t>
        </is>
      </c>
      <c r="M300" t="inlineStr">
        <is>
          <t>1967</t>
        </is>
      </c>
      <c r="O300" t="inlineStr">
        <is>
          <t>eng</t>
        </is>
      </c>
      <c r="P300" t="inlineStr">
        <is>
          <t>cau</t>
        </is>
      </c>
      <c r="Q300" t="inlineStr">
        <is>
          <t>Basic concepts in psychology series</t>
        </is>
      </c>
      <c r="R300" t="inlineStr">
        <is>
          <t xml:space="preserve">BF </t>
        </is>
      </c>
      <c r="S300" t="n">
        <v>8</v>
      </c>
      <c r="T300" t="n">
        <v>8</v>
      </c>
      <c r="U300" t="inlineStr">
        <is>
          <t>1996-11-18</t>
        </is>
      </c>
      <c r="V300" t="inlineStr">
        <is>
          <t>1996-11-18</t>
        </is>
      </c>
      <c r="W300" t="inlineStr">
        <is>
          <t>1993-10-07</t>
        </is>
      </c>
      <c r="X300" t="inlineStr">
        <is>
          <t>1993-10-07</t>
        </is>
      </c>
      <c r="Y300" t="n">
        <v>413</v>
      </c>
      <c r="Z300" t="n">
        <v>343</v>
      </c>
      <c r="AA300" t="n">
        <v>368</v>
      </c>
      <c r="AB300" t="n">
        <v>2</v>
      </c>
      <c r="AC300" t="n">
        <v>2</v>
      </c>
      <c r="AD300" t="n">
        <v>12</v>
      </c>
      <c r="AE300" t="n">
        <v>12</v>
      </c>
      <c r="AF300" t="n">
        <v>5</v>
      </c>
      <c r="AG300" t="n">
        <v>5</v>
      </c>
      <c r="AH300" t="n">
        <v>1</v>
      </c>
      <c r="AI300" t="n">
        <v>1</v>
      </c>
      <c r="AJ300" t="n">
        <v>9</v>
      </c>
      <c r="AK300" t="n">
        <v>9</v>
      </c>
      <c r="AL300" t="n">
        <v>1</v>
      </c>
      <c r="AM300" t="n">
        <v>1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HYPERLINK("http://catalog.hathitrust.org/Record/000354665","HathiTrust Record")</f>
        <v/>
      </c>
      <c r="AS300">
        <f>HYPERLINK("https://creighton-primo.hosted.exlibrisgroup.com/primo-explore/search?tab=default_tab&amp;search_scope=EVERYTHING&amp;vid=01CRU&amp;lang=en_US&amp;offset=0&amp;query=any,contains,991001026509702656","Catalog Record")</f>
        <v/>
      </c>
      <c r="AT300">
        <f>HYPERLINK("http://www.worldcat.org/oclc/174625","WorldCat Record")</f>
        <v/>
      </c>
      <c r="AU300" t="inlineStr">
        <is>
          <t>1306266:eng</t>
        </is>
      </c>
      <c r="AV300" t="inlineStr">
        <is>
          <t>174625</t>
        </is>
      </c>
      <c r="AW300" t="inlineStr">
        <is>
          <t>991001026509702656</t>
        </is>
      </c>
      <c r="AX300" t="inlineStr">
        <is>
          <t>991001026509702656</t>
        </is>
      </c>
      <c r="AY300" t="inlineStr">
        <is>
          <t>2266549260002656</t>
        </is>
      </c>
      <c r="AZ300" t="inlineStr">
        <is>
          <t>BOOK</t>
        </is>
      </c>
      <c r="BC300" t="inlineStr">
        <is>
          <t>32285001790368</t>
        </is>
      </c>
      <c r="BD300" t="inlineStr">
        <is>
          <t>893413890</t>
        </is>
      </c>
    </row>
    <row r="301">
      <c r="A301" t="inlineStr">
        <is>
          <t>No</t>
        </is>
      </c>
      <c r="B301" t="inlineStr">
        <is>
          <t>BF292 .B7</t>
        </is>
      </c>
      <c r="C301" t="inlineStr">
        <is>
          <t>0                      BF 0292000B  7</t>
        </is>
      </c>
      <c r="D301" t="inlineStr">
        <is>
          <t>Isolation; clinical and experimental approaches.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Brownfield, Charles A., 1933-</t>
        </is>
      </c>
      <c r="L301" t="inlineStr">
        <is>
          <t>New York, Random House [c1965]</t>
        </is>
      </c>
      <c r="M301" t="inlineStr">
        <is>
          <t>1965</t>
        </is>
      </c>
      <c r="O301" t="inlineStr">
        <is>
          <t>eng</t>
        </is>
      </c>
      <c r="P301" t="inlineStr">
        <is>
          <t xml:space="preserve">xx </t>
        </is>
      </c>
      <c r="Q301" t="inlineStr">
        <is>
          <t>Studies in psychology ; PP31</t>
        </is>
      </c>
      <c r="R301" t="inlineStr">
        <is>
          <t xml:space="preserve">BF </t>
        </is>
      </c>
      <c r="S301" t="n">
        <v>5</v>
      </c>
      <c r="T301" t="n">
        <v>5</v>
      </c>
      <c r="U301" t="inlineStr">
        <is>
          <t>2002-11-13</t>
        </is>
      </c>
      <c r="V301" t="inlineStr">
        <is>
          <t>2002-11-13</t>
        </is>
      </c>
      <c r="W301" t="inlineStr">
        <is>
          <t>1996-07-26</t>
        </is>
      </c>
      <c r="X301" t="inlineStr">
        <is>
          <t>1996-07-26</t>
        </is>
      </c>
      <c r="Y301" t="n">
        <v>274</v>
      </c>
      <c r="Z301" t="n">
        <v>223</v>
      </c>
      <c r="AA301" t="n">
        <v>225</v>
      </c>
      <c r="AB301" t="n">
        <v>4</v>
      </c>
      <c r="AC301" t="n">
        <v>4</v>
      </c>
      <c r="AD301" t="n">
        <v>10</v>
      </c>
      <c r="AE301" t="n">
        <v>10</v>
      </c>
      <c r="AF301" t="n">
        <v>3</v>
      </c>
      <c r="AG301" t="n">
        <v>3</v>
      </c>
      <c r="AH301" t="n">
        <v>1</v>
      </c>
      <c r="AI301" t="n">
        <v>1</v>
      </c>
      <c r="AJ301" t="n">
        <v>5</v>
      </c>
      <c r="AK301" t="n">
        <v>5</v>
      </c>
      <c r="AL301" t="n">
        <v>3</v>
      </c>
      <c r="AM301" t="n">
        <v>3</v>
      </c>
      <c r="AN301" t="n">
        <v>0</v>
      </c>
      <c r="AO301" t="n">
        <v>0</v>
      </c>
      <c r="AP301" t="inlineStr">
        <is>
          <t>No</t>
        </is>
      </c>
      <c r="AQ301" t="inlineStr">
        <is>
          <t>Yes</t>
        </is>
      </c>
      <c r="AR301">
        <f>HYPERLINK("http://catalog.hathitrust.org/Record/000662735","HathiTrust Record")</f>
        <v/>
      </c>
      <c r="AS301">
        <f>HYPERLINK("https://creighton-primo.hosted.exlibrisgroup.com/primo-explore/search?tab=default_tab&amp;search_scope=EVERYTHING&amp;vid=01CRU&amp;lang=en_US&amp;offset=0&amp;query=any,contains,991001910589702656","Catalog Record")</f>
        <v/>
      </c>
      <c r="AT301">
        <f>HYPERLINK("http://www.worldcat.org/oclc/242135","WorldCat Record")</f>
        <v/>
      </c>
      <c r="AU301" t="inlineStr">
        <is>
          <t>1389081:eng</t>
        </is>
      </c>
      <c r="AV301" t="inlineStr">
        <is>
          <t>242135</t>
        </is>
      </c>
      <c r="AW301" t="inlineStr">
        <is>
          <t>991001910589702656</t>
        </is>
      </c>
      <c r="AX301" t="inlineStr">
        <is>
          <t>991001910589702656</t>
        </is>
      </c>
      <c r="AY301" t="inlineStr">
        <is>
          <t>2269066270002656</t>
        </is>
      </c>
      <c r="AZ301" t="inlineStr">
        <is>
          <t>BOOK</t>
        </is>
      </c>
      <c r="BC301" t="inlineStr">
        <is>
          <t>32285002237526</t>
        </is>
      </c>
      <c r="BD301" t="inlineStr">
        <is>
          <t>893621707</t>
        </is>
      </c>
    </row>
    <row r="302">
      <c r="A302" t="inlineStr">
        <is>
          <t>No</t>
        </is>
      </c>
      <c r="B302" t="inlineStr">
        <is>
          <t>BF295 .A76</t>
        </is>
      </c>
      <c r="C302" t="inlineStr">
        <is>
          <t>0                      BF 0295000A  76</t>
        </is>
      </c>
      <c r="D302" t="inlineStr">
        <is>
          <t>Meaning in movement, sport, and physical education / Peter J. Arnold ; with a foreword by Dick Jeeps.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Arnold, Peter J. (Peter James)</t>
        </is>
      </c>
      <c r="L302" t="inlineStr">
        <is>
          <t>London : Heinemann, 1979.</t>
        </is>
      </c>
      <c r="M302" t="inlineStr">
        <is>
          <t>1979</t>
        </is>
      </c>
      <c r="O302" t="inlineStr">
        <is>
          <t>eng</t>
        </is>
      </c>
      <c r="P302" t="inlineStr">
        <is>
          <t>enk</t>
        </is>
      </c>
      <c r="R302" t="inlineStr">
        <is>
          <t xml:space="preserve">BF </t>
        </is>
      </c>
      <c r="S302" t="n">
        <v>3</v>
      </c>
      <c r="T302" t="n">
        <v>3</v>
      </c>
      <c r="U302" t="inlineStr">
        <is>
          <t>2002-04-16</t>
        </is>
      </c>
      <c r="V302" t="inlineStr">
        <is>
          <t>2002-04-16</t>
        </is>
      </c>
      <c r="W302" t="inlineStr">
        <is>
          <t>1991-05-01</t>
        </is>
      </c>
      <c r="X302" t="inlineStr">
        <is>
          <t>1991-05-01</t>
        </is>
      </c>
      <c r="Y302" t="n">
        <v>332</v>
      </c>
      <c r="Z302" t="n">
        <v>234</v>
      </c>
      <c r="AA302" t="n">
        <v>234</v>
      </c>
      <c r="AB302" t="n">
        <v>3</v>
      </c>
      <c r="AC302" t="n">
        <v>3</v>
      </c>
      <c r="AD302" t="n">
        <v>7</v>
      </c>
      <c r="AE302" t="n">
        <v>7</v>
      </c>
      <c r="AF302" t="n">
        <v>3</v>
      </c>
      <c r="AG302" t="n">
        <v>3</v>
      </c>
      <c r="AH302" t="n">
        <v>0</v>
      </c>
      <c r="AI302" t="n">
        <v>0</v>
      </c>
      <c r="AJ302" t="n">
        <v>2</v>
      </c>
      <c r="AK302" t="n">
        <v>2</v>
      </c>
      <c r="AL302" t="n">
        <v>2</v>
      </c>
      <c r="AM302" t="n">
        <v>2</v>
      </c>
      <c r="AN302" t="n">
        <v>0</v>
      </c>
      <c r="AO302" t="n">
        <v>0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HYPERLINK("https://creighton-primo.hosted.exlibrisgroup.com/primo-explore/search?tab=default_tab&amp;search_scope=EVERYTHING&amp;vid=01CRU&amp;lang=en_US&amp;offset=0&amp;query=any,contains,991004957539702656","Catalog Record")</f>
        <v/>
      </c>
      <c r="AT302">
        <f>HYPERLINK("http://www.worldcat.org/oclc/6282911","WorldCat Record")</f>
        <v/>
      </c>
      <c r="AU302" t="inlineStr">
        <is>
          <t>479567:eng</t>
        </is>
      </c>
      <c r="AV302" t="inlineStr">
        <is>
          <t>6282911</t>
        </is>
      </c>
      <c r="AW302" t="inlineStr">
        <is>
          <t>991004957539702656</t>
        </is>
      </c>
      <c r="AX302" t="inlineStr">
        <is>
          <t>991004957539702656</t>
        </is>
      </c>
      <c r="AY302" t="inlineStr">
        <is>
          <t>2263635040002656</t>
        </is>
      </c>
      <c r="AZ302" t="inlineStr">
        <is>
          <t>BOOK</t>
        </is>
      </c>
      <c r="BB302" t="inlineStr">
        <is>
          <t>9780435800338</t>
        </is>
      </c>
      <c r="BC302" t="inlineStr">
        <is>
          <t>32285000589910</t>
        </is>
      </c>
      <c r="BD302" t="inlineStr">
        <is>
          <t>893776626</t>
        </is>
      </c>
    </row>
    <row r="303">
      <c r="A303" t="inlineStr">
        <is>
          <t>No</t>
        </is>
      </c>
      <c r="B303" t="inlineStr">
        <is>
          <t>BF295 .B37</t>
        </is>
      </c>
      <c r="C303" t="inlineStr">
        <is>
          <t>0                      BF 0295000B  37</t>
        </is>
      </c>
      <c r="D303" t="inlineStr">
        <is>
          <t>Body movement : coping with the environment / by Irmgard Bartenieff with Dori Lewis.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Bartenieff, Irmgard.</t>
        </is>
      </c>
      <c r="L303" t="inlineStr">
        <is>
          <t>New York : Gordon and Breach Science Publishers, c1980, 1982 printing.</t>
        </is>
      </c>
      <c r="M303" t="inlineStr">
        <is>
          <t>1980</t>
        </is>
      </c>
      <c r="O303" t="inlineStr">
        <is>
          <t>eng</t>
        </is>
      </c>
      <c r="P303" t="inlineStr">
        <is>
          <t>nyu</t>
        </is>
      </c>
      <c r="R303" t="inlineStr">
        <is>
          <t xml:space="preserve">BF </t>
        </is>
      </c>
      <c r="S303" t="n">
        <v>3</v>
      </c>
      <c r="T303" t="n">
        <v>3</v>
      </c>
      <c r="U303" t="inlineStr">
        <is>
          <t>1996-06-04</t>
        </is>
      </c>
      <c r="V303" t="inlineStr">
        <is>
          <t>1996-06-04</t>
        </is>
      </c>
      <c r="W303" t="inlineStr">
        <is>
          <t>1991-05-01</t>
        </is>
      </c>
      <c r="X303" t="inlineStr">
        <is>
          <t>1991-05-01</t>
        </is>
      </c>
      <c r="Y303" t="n">
        <v>713</v>
      </c>
      <c r="Z303" t="n">
        <v>569</v>
      </c>
      <c r="AA303" t="n">
        <v>613</v>
      </c>
      <c r="AB303" t="n">
        <v>4</v>
      </c>
      <c r="AC303" t="n">
        <v>4</v>
      </c>
      <c r="AD303" t="n">
        <v>23</v>
      </c>
      <c r="AE303" t="n">
        <v>23</v>
      </c>
      <c r="AF303" t="n">
        <v>10</v>
      </c>
      <c r="AG303" t="n">
        <v>10</v>
      </c>
      <c r="AH303" t="n">
        <v>5</v>
      </c>
      <c r="AI303" t="n">
        <v>5</v>
      </c>
      <c r="AJ303" t="n">
        <v>11</v>
      </c>
      <c r="AK303" t="n">
        <v>11</v>
      </c>
      <c r="AL303" t="n">
        <v>3</v>
      </c>
      <c r="AM303" t="n">
        <v>3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HYPERLINK("https://creighton-primo.hosted.exlibrisgroup.com/primo-explore/search?tab=default_tab&amp;search_scope=EVERYTHING&amp;vid=01CRU&amp;lang=en_US&amp;offset=0&amp;query=any,contains,991005053029702656","Catalog Record")</f>
        <v/>
      </c>
      <c r="AT303">
        <f>HYPERLINK("http://www.worldcat.org/oclc/6887469","WorldCat Record")</f>
        <v/>
      </c>
      <c r="AU303" t="inlineStr">
        <is>
          <t>431429:eng</t>
        </is>
      </c>
      <c r="AV303" t="inlineStr">
        <is>
          <t>6887469</t>
        </is>
      </c>
      <c r="AW303" t="inlineStr">
        <is>
          <t>991005053029702656</t>
        </is>
      </c>
      <c r="AX303" t="inlineStr">
        <is>
          <t>991005053029702656</t>
        </is>
      </c>
      <c r="AY303" t="inlineStr">
        <is>
          <t>2268063900002656</t>
        </is>
      </c>
      <c r="AZ303" t="inlineStr">
        <is>
          <t>BOOK</t>
        </is>
      </c>
      <c r="BB303" t="inlineStr">
        <is>
          <t>9780677055008</t>
        </is>
      </c>
      <c r="BC303" t="inlineStr">
        <is>
          <t>32285000589928</t>
        </is>
      </c>
      <c r="BD303" t="inlineStr">
        <is>
          <t>893332327</t>
        </is>
      </c>
    </row>
    <row r="304">
      <c r="A304" t="inlineStr">
        <is>
          <t>No</t>
        </is>
      </c>
      <c r="B304" t="inlineStr">
        <is>
          <t>BF295 .C6 1973</t>
        </is>
      </c>
      <c r="C304" t="inlineStr">
        <is>
          <t>0                      BF 0295000C  6           1973</t>
        </is>
      </c>
      <c r="D304" t="inlineStr">
        <is>
          <t>Movement behavior and motor learning [by] Bryant J. Cratty.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Cratty, Bryant J.</t>
        </is>
      </c>
      <c r="L304" t="inlineStr">
        <is>
          <t>Philadelphia, Lea &amp; Febiger, 1973.</t>
        </is>
      </c>
      <c r="M304" t="inlineStr">
        <is>
          <t>1973</t>
        </is>
      </c>
      <c r="N304" t="inlineStr">
        <is>
          <t>3d ed.</t>
        </is>
      </c>
      <c r="O304" t="inlineStr">
        <is>
          <t>eng</t>
        </is>
      </c>
      <c r="P304" t="inlineStr">
        <is>
          <t>pau</t>
        </is>
      </c>
      <c r="Q304" t="inlineStr">
        <is>
          <t>Health education, physical education, and recreation series</t>
        </is>
      </c>
      <c r="R304" t="inlineStr">
        <is>
          <t xml:space="preserve">BF </t>
        </is>
      </c>
      <c r="S304" t="n">
        <v>6</v>
      </c>
      <c r="T304" t="n">
        <v>6</v>
      </c>
      <c r="U304" t="inlineStr">
        <is>
          <t>1996-10-12</t>
        </is>
      </c>
      <c r="V304" t="inlineStr">
        <is>
          <t>1996-10-12</t>
        </is>
      </c>
      <c r="W304" t="inlineStr">
        <is>
          <t>1991-05-01</t>
        </is>
      </c>
      <c r="X304" t="inlineStr">
        <is>
          <t>1991-05-01</t>
        </is>
      </c>
      <c r="Y304" t="n">
        <v>458</v>
      </c>
      <c r="Z304" t="n">
        <v>342</v>
      </c>
      <c r="AA304" t="n">
        <v>664</v>
      </c>
      <c r="AB304" t="n">
        <v>2</v>
      </c>
      <c r="AC304" t="n">
        <v>6</v>
      </c>
      <c r="AD304" t="n">
        <v>7</v>
      </c>
      <c r="AE304" t="n">
        <v>30</v>
      </c>
      <c r="AF304" t="n">
        <v>4</v>
      </c>
      <c r="AG304" t="n">
        <v>12</v>
      </c>
      <c r="AH304" t="n">
        <v>0</v>
      </c>
      <c r="AI304" t="n">
        <v>6</v>
      </c>
      <c r="AJ304" t="n">
        <v>4</v>
      </c>
      <c r="AK304" t="n">
        <v>14</v>
      </c>
      <c r="AL304" t="n">
        <v>1</v>
      </c>
      <c r="AM304" t="n">
        <v>5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HYPERLINK("https://creighton-primo.hosted.exlibrisgroup.com/primo-explore/search?tab=default_tab&amp;search_scope=EVERYTHING&amp;vid=01CRU&amp;lang=en_US&amp;offset=0&amp;query=any,contains,991003012429702656","Catalog Record")</f>
        <v/>
      </c>
      <c r="AT304">
        <f>HYPERLINK("http://www.worldcat.org/oclc/578880","WorldCat Record")</f>
        <v/>
      </c>
      <c r="AU304" t="inlineStr">
        <is>
          <t>1508860:eng</t>
        </is>
      </c>
      <c r="AV304" t="inlineStr">
        <is>
          <t>578880</t>
        </is>
      </c>
      <c r="AW304" t="inlineStr">
        <is>
          <t>991003012429702656</t>
        </is>
      </c>
      <c r="AX304" t="inlineStr">
        <is>
          <t>991003012429702656</t>
        </is>
      </c>
      <c r="AY304" t="inlineStr">
        <is>
          <t>2258542820002656</t>
        </is>
      </c>
      <c r="AZ304" t="inlineStr">
        <is>
          <t>BOOK</t>
        </is>
      </c>
      <c r="BB304" t="inlineStr">
        <is>
          <t>9780812104257</t>
        </is>
      </c>
      <c r="BC304" t="inlineStr">
        <is>
          <t>32285000589936</t>
        </is>
      </c>
      <c r="BD304" t="inlineStr">
        <is>
          <t>893686095</t>
        </is>
      </c>
    </row>
    <row r="305">
      <c r="A305" t="inlineStr">
        <is>
          <t>No</t>
        </is>
      </c>
      <c r="B305" t="inlineStr">
        <is>
          <t>BF295 .M36 1989</t>
        </is>
      </c>
      <c r="C305" t="inlineStr">
        <is>
          <t>0                      BF 0295000M  36          1989</t>
        </is>
      </c>
      <c r="D305" t="inlineStr">
        <is>
          <t>Motor learning : concepts and applications / Richard A. Magill.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Magill, Richard A.</t>
        </is>
      </c>
      <c r="L305" t="inlineStr">
        <is>
          <t>Dubuque, Iowa : Wm. C. Brown Publishers, c1989.</t>
        </is>
      </c>
      <c r="M305" t="inlineStr">
        <is>
          <t>1989</t>
        </is>
      </c>
      <c r="N305" t="inlineStr">
        <is>
          <t>3rd ed.</t>
        </is>
      </c>
      <c r="O305" t="inlineStr">
        <is>
          <t>eng</t>
        </is>
      </c>
      <c r="P305" t="inlineStr">
        <is>
          <t>iau</t>
        </is>
      </c>
      <c r="R305" t="inlineStr">
        <is>
          <t xml:space="preserve">BF </t>
        </is>
      </c>
      <c r="S305" t="n">
        <v>7</v>
      </c>
      <c r="T305" t="n">
        <v>7</v>
      </c>
      <c r="U305" t="inlineStr">
        <is>
          <t>2000-01-29</t>
        </is>
      </c>
      <c r="V305" t="inlineStr">
        <is>
          <t>2000-01-29</t>
        </is>
      </c>
      <c r="W305" t="inlineStr">
        <is>
          <t>1991-05-01</t>
        </is>
      </c>
      <c r="X305" t="inlineStr">
        <is>
          <t>1991-05-01</t>
        </is>
      </c>
      <c r="Y305" t="n">
        <v>213</v>
      </c>
      <c r="Z305" t="n">
        <v>148</v>
      </c>
      <c r="AA305" t="n">
        <v>445</v>
      </c>
      <c r="AB305" t="n">
        <v>3</v>
      </c>
      <c r="AC305" t="n">
        <v>5</v>
      </c>
      <c r="AD305" t="n">
        <v>4</v>
      </c>
      <c r="AE305" t="n">
        <v>15</v>
      </c>
      <c r="AF305" t="n">
        <v>2</v>
      </c>
      <c r="AG305" t="n">
        <v>5</v>
      </c>
      <c r="AH305" t="n">
        <v>0</v>
      </c>
      <c r="AI305" t="n">
        <v>3</v>
      </c>
      <c r="AJ305" t="n">
        <v>1</v>
      </c>
      <c r="AK305" t="n">
        <v>5</v>
      </c>
      <c r="AL305" t="n">
        <v>2</v>
      </c>
      <c r="AM305" t="n">
        <v>4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HYPERLINK("https://creighton-primo.hosted.exlibrisgroup.com/primo-explore/search?tab=default_tab&amp;search_scope=EVERYTHING&amp;vid=01CRU&amp;lang=en_US&amp;offset=0&amp;query=any,contains,991001407159702656","Catalog Record")</f>
        <v/>
      </c>
      <c r="AT305">
        <f>HYPERLINK("http://www.worldcat.org/oclc/18854270","WorldCat Record")</f>
        <v/>
      </c>
      <c r="AU305" t="inlineStr">
        <is>
          <t>2540575:eng</t>
        </is>
      </c>
      <c r="AV305" t="inlineStr">
        <is>
          <t>18854270</t>
        </is>
      </c>
      <c r="AW305" t="inlineStr">
        <is>
          <t>991001407159702656</t>
        </is>
      </c>
      <c r="AX305" t="inlineStr">
        <is>
          <t>991001407159702656</t>
        </is>
      </c>
      <c r="AY305" t="inlineStr">
        <is>
          <t>2270839240002656</t>
        </is>
      </c>
      <c r="AZ305" t="inlineStr">
        <is>
          <t>BOOK</t>
        </is>
      </c>
      <c r="BB305" t="inlineStr">
        <is>
          <t>9780697013453</t>
        </is>
      </c>
      <c r="BC305" t="inlineStr">
        <is>
          <t>32285000589985</t>
        </is>
      </c>
      <c r="BD305" t="inlineStr">
        <is>
          <t>893225839</t>
        </is>
      </c>
    </row>
    <row r="306">
      <c r="A306" t="inlineStr">
        <is>
          <t>No</t>
        </is>
      </c>
      <c r="B306" t="inlineStr">
        <is>
          <t>BF295 .M44</t>
        </is>
      </c>
      <c r="C306" t="inlineStr">
        <is>
          <t>0                      BF 0295000M  44</t>
        </is>
      </c>
      <c r="D306" t="inlineStr">
        <is>
          <t>Movement and meaning.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Metheny, Eleanor, 1908-1982.</t>
        </is>
      </c>
      <c r="L306" t="inlineStr">
        <is>
          <t>New York, McGraw-Hill [1968]</t>
        </is>
      </c>
      <c r="M306" t="inlineStr">
        <is>
          <t>1968</t>
        </is>
      </c>
      <c r="O306" t="inlineStr">
        <is>
          <t>eng</t>
        </is>
      </c>
      <c r="P306" t="inlineStr">
        <is>
          <t>nyu</t>
        </is>
      </c>
      <c r="R306" t="inlineStr">
        <is>
          <t xml:space="preserve">BF </t>
        </is>
      </c>
      <c r="S306" t="n">
        <v>4</v>
      </c>
      <c r="T306" t="n">
        <v>4</v>
      </c>
      <c r="U306" t="inlineStr">
        <is>
          <t>1997-11-18</t>
        </is>
      </c>
      <c r="V306" t="inlineStr">
        <is>
          <t>1997-11-18</t>
        </is>
      </c>
      <c r="W306" t="inlineStr">
        <is>
          <t>1996-07-26</t>
        </is>
      </c>
      <c r="X306" t="inlineStr">
        <is>
          <t>1996-07-26</t>
        </is>
      </c>
      <c r="Y306" t="n">
        <v>532</v>
      </c>
      <c r="Z306" t="n">
        <v>447</v>
      </c>
      <c r="AA306" t="n">
        <v>456</v>
      </c>
      <c r="AB306" t="n">
        <v>4</v>
      </c>
      <c r="AC306" t="n">
        <v>4</v>
      </c>
      <c r="AD306" t="n">
        <v>13</v>
      </c>
      <c r="AE306" t="n">
        <v>13</v>
      </c>
      <c r="AF306" t="n">
        <v>7</v>
      </c>
      <c r="AG306" t="n">
        <v>7</v>
      </c>
      <c r="AH306" t="n">
        <v>3</v>
      </c>
      <c r="AI306" t="n">
        <v>3</v>
      </c>
      <c r="AJ306" t="n">
        <v>3</v>
      </c>
      <c r="AK306" t="n">
        <v>3</v>
      </c>
      <c r="AL306" t="n">
        <v>3</v>
      </c>
      <c r="AM306" t="n">
        <v>3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HYPERLINK("http://catalog.hathitrust.org/Record/000382665","HathiTrust Record")</f>
        <v/>
      </c>
      <c r="AS306">
        <f>HYPERLINK("https://creighton-primo.hosted.exlibrisgroup.com/primo-explore/search?tab=default_tab&amp;search_scope=EVERYTHING&amp;vid=01CRU&amp;lang=en_US&amp;offset=0&amp;query=any,contains,991001207159702656","Catalog Record")</f>
        <v/>
      </c>
      <c r="AT306">
        <f>HYPERLINK("http://www.worldcat.org/oclc/192378","WorldCat Record")</f>
        <v/>
      </c>
      <c r="AU306" t="inlineStr">
        <is>
          <t>1353941:eng</t>
        </is>
      </c>
      <c r="AV306" t="inlineStr">
        <is>
          <t>192378</t>
        </is>
      </c>
      <c r="AW306" t="inlineStr">
        <is>
          <t>991001207159702656</t>
        </is>
      </c>
      <c r="AX306" t="inlineStr">
        <is>
          <t>991001207159702656</t>
        </is>
      </c>
      <c r="AY306" t="inlineStr">
        <is>
          <t>2256494680002656</t>
        </is>
      </c>
      <c r="AZ306" t="inlineStr">
        <is>
          <t>BOOK</t>
        </is>
      </c>
      <c r="BC306" t="inlineStr">
        <is>
          <t>32285002237633</t>
        </is>
      </c>
      <c r="BD306" t="inlineStr">
        <is>
          <t>893709084</t>
        </is>
      </c>
    </row>
    <row r="307">
      <c r="A307" t="inlineStr">
        <is>
          <t>No</t>
        </is>
      </c>
      <c r="B307" t="inlineStr">
        <is>
          <t>BF295 .S173 1984</t>
        </is>
      </c>
      <c r="C307" t="inlineStr">
        <is>
          <t>0                      BF 0295000S  173         1984</t>
        </is>
      </c>
      <c r="D307" t="inlineStr">
        <is>
          <t>Motor learning and control : a neuropsychological approach / George H. Sage.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Sage, George Harvey.</t>
        </is>
      </c>
      <c r="L307" t="inlineStr">
        <is>
          <t>Dubuque, Iowa : W.C. Brown, c1984.</t>
        </is>
      </c>
      <c r="M307" t="inlineStr">
        <is>
          <t>1984</t>
        </is>
      </c>
      <c r="O307" t="inlineStr">
        <is>
          <t>eng</t>
        </is>
      </c>
      <c r="P307" t="inlineStr">
        <is>
          <t>iau</t>
        </is>
      </c>
      <c r="R307" t="inlineStr">
        <is>
          <t xml:space="preserve">BF </t>
        </is>
      </c>
      <c r="S307" t="n">
        <v>2</v>
      </c>
      <c r="T307" t="n">
        <v>2</v>
      </c>
      <c r="U307" t="inlineStr">
        <is>
          <t>1992-02-08</t>
        </is>
      </c>
      <c r="V307" t="inlineStr">
        <is>
          <t>1992-02-08</t>
        </is>
      </c>
      <c r="W307" t="inlineStr">
        <is>
          <t>1991-05-01</t>
        </is>
      </c>
      <c r="X307" t="inlineStr">
        <is>
          <t>1991-05-01</t>
        </is>
      </c>
      <c r="Y307" t="n">
        <v>241</v>
      </c>
      <c r="Z307" t="n">
        <v>177</v>
      </c>
      <c r="AA307" t="n">
        <v>177</v>
      </c>
      <c r="AB307" t="n">
        <v>3</v>
      </c>
      <c r="AC307" t="n">
        <v>3</v>
      </c>
      <c r="AD307" t="n">
        <v>6</v>
      </c>
      <c r="AE307" t="n">
        <v>6</v>
      </c>
      <c r="AF307" t="n">
        <v>3</v>
      </c>
      <c r="AG307" t="n">
        <v>3</v>
      </c>
      <c r="AH307" t="n">
        <v>0</v>
      </c>
      <c r="AI307" t="n">
        <v>0</v>
      </c>
      <c r="AJ307" t="n">
        <v>1</v>
      </c>
      <c r="AK307" t="n">
        <v>1</v>
      </c>
      <c r="AL307" t="n">
        <v>2</v>
      </c>
      <c r="AM307" t="n">
        <v>2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HYPERLINK("https://creighton-primo.hosted.exlibrisgroup.com/primo-explore/search?tab=default_tab&amp;search_scope=EVERYTHING&amp;vid=01CRU&amp;lang=en_US&amp;offset=0&amp;query=any,contains,991000435039702656","Catalog Record")</f>
        <v/>
      </c>
      <c r="AT307">
        <f>HYPERLINK("http://www.worldcat.org/oclc/10789270","WorldCat Record")</f>
        <v/>
      </c>
      <c r="AU307" t="inlineStr">
        <is>
          <t>945391977:eng</t>
        </is>
      </c>
      <c r="AV307" t="inlineStr">
        <is>
          <t>10789270</t>
        </is>
      </c>
      <c r="AW307" t="inlineStr">
        <is>
          <t>991000435039702656</t>
        </is>
      </c>
      <c r="AX307" t="inlineStr">
        <is>
          <t>991000435039702656</t>
        </is>
      </c>
      <c r="AY307" t="inlineStr">
        <is>
          <t>2267540990002656</t>
        </is>
      </c>
      <c r="AZ307" t="inlineStr">
        <is>
          <t>BOOK</t>
        </is>
      </c>
      <c r="BB307" t="inlineStr">
        <is>
          <t>9780697000781</t>
        </is>
      </c>
      <c r="BC307" t="inlineStr">
        <is>
          <t>32285000590009</t>
        </is>
      </c>
      <c r="BD307" t="inlineStr">
        <is>
          <t>893784207</t>
        </is>
      </c>
    </row>
    <row r="308">
      <c r="A308" t="inlineStr">
        <is>
          <t>No</t>
        </is>
      </c>
      <c r="B308" t="inlineStr">
        <is>
          <t>BF295 .S248 1988</t>
        </is>
      </c>
      <c r="C308" t="inlineStr">
        <is>
          <t>0                      BF 0295000S  248         1988</t>
        </is>
      </c>
      <c r="D308" t="inlineStr">
        <is>
          <t>Motor control and learning : a behavioral emphasis / Richard A. Schmidt.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Schmidt, Richard A. (Richard Allen), 1941-2015.</t>
        </is>
      </c>
      <c r="L308" t="inlineStr">
        <is>
          <t>Champaign, Ill. : Human Kinetics, c1988.</t>
        </is>
      </c>
      <c r="M308" t="inlineStr">
        <is>
          <t>1988</t>
        </is>
      </c>
      <c r="N308" t="inlineStr">
        <is>
          <t>2nd ed.</t>
        </is>
      </c>
      <c r="O308" t="inlineStr">
        <is>
          <t>eng</t>
        </is>
      </c>
      <c r="P308" t="inlineStr">
        <is>
          <t>ilu</t>
        </is>
      </c>
      <c r="R308" t="inlineStr">
        <is>
          <t xml:space="preserve">BF </t>
        </is>
      </c>
      <c r="S308" t="n">
        <v>4</v>
      </c>
      <c r="T308" t="n">
        <v>4</v>
      </c>
      <c r="U308" t="inlineStr">
        <is>
          <t>2002-03-14</t>
        </is>
      </c>
      <c r="V308" t="inlineStr">
        <is>
          <t>2002-03-14</t>
        </is>
      </c>
      <c r="W308" t="inlineStr">
        <is>
          <t>1990-05-17</t>
        </is>
      </c>
      <c r="X308" t="inlineStr">
        <is>
          <t>1990-05-17</t>
        </is>
      </c>
      <c r="Y308" t="n">
        <v>412</v>
      </c>
      <c r="Z308" t="n">
        <v>278</v>
      </c>
      <c r="AA308" t="n">
        <v>882</v>
      </c>
      <c r="AB308" t="n">
        <v>3</v>
      </c>
      <c r="AC308" t="n">
        <v>8</v>
      </c>
      <c r="AD308" t="n">
        <v>7</v>
      </c>
      <c r="AE308" t="n">
        <v>42</v>
      </c>
      <c r="AF308" t="n">
        <v>1</v>
      </c>
      <c r="AG308" t="n">
        <v>22</v>
      </c>
      <c r="AH308" t="n">
        <v>3</v>
      </c>
      <c r="AI308" t="n">
        <v>6</v>
      </c>
      <c r="AJ308" t="n">
        <v>4</v>
      </c>
      <c r="AK308" t="n">
        <v>18</v>
      </c>
      <c r="AL308" t="n">
        <v>2</v>
      </c>
      <c r="AM308" t="n">
        <v>7</v>
      </c>
      <c r="AN308" t="n">
        <v>0</v>
      </c>
      <c r="AO308" t="n">
        <v>0</v>
      </c>
      <c r="AP308" t="inlineStr">
        <is>
          <t>No</t>
        </is>
      </c>
      <c r="AQ308" t="inlineStr">
        <is>
          <t>Yes</t>
        </is>
      </c>
      <c r="AR308">
        <f>HYPERLINK("http://catalog.hathitrust.org/Record/001104428","HathiTrust Record")</f>
        <v/>
      </c>
      <c r="AS308">
        <f>HYPERLINK("https://creighton-primo.hosted.exlibrisgroup.com/primo-explore/search?tab=default_tab&amp;search_scope=EVERYTHING&amp;vid=01CRU&amp;lang=en_US&amp;offset=0&amp;query=any,contains,991001027469702656","Catalog Record")</f>
        <v/>
      </c>
      <c r="AT308">
        <f>HYPERLINK("http://www.worldcat.org/oclc/15487503","WorldCat Record")</f>
        <v/>
      </c>
      <c r="AU308" t="inlineStr">
        <is>
          <t>791997497:eng</t>
        </is>
      </c>
      <c r="AV308" t="inlineStr">
        <is>
          <t>15487503</t>
        </is>
      </c>
      <c r="AW308" t="inlineStr">
        <is>
          <t>991001027469702656</t>
        </is>
      </c>
      <c r="AX308" t="inlineStr">
        <is>
          <t>991001027469702656</t>
        </is>
      </c>
      <c r="AY308" t="inlineStr">
        <is>
          <t>2269764490002656</t>
        </is>
      </c>
      <c r="AZ308" t="inlineStr">
        <is>
          <t>BOOK</t>
        </is>
      </c>
      <c r="BB308" t="inlineStr">
        <is>
          <t>9780873221153</t>
        </is>
      </c>
      <c r="BC308" t="inlineStr">
        <is>
          <t>32285000137561</t>
        </is>
      </c>
      <c r="BD308" t="inlineStr">
        <is>
          <t>893315452</t>
        </is>
      </c>
    </row>
    <row r="309">
      <c r="A309" t="inlineStr">
        <is>
          <t>No</t>
        </is>
      </c>
      <c r="B309" t="inlineStr">
        <is>
          <t>BF295 .S76</t>
        </is>
      </c>
      <c r="C309" t="inlineStr">
        <is>
          <t>0                      BF 0295000S  76</t>
        </is>
      </c>
      <c r="D309" t="inlineStr">
        <is>
          <t>Motor learning : from theory to practice / Loretta M. Stallings.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Stallings, Loretta M.</t>
        </is>
      </c>
      <c r="L309" t="inlineStr">
        <is>
          <t>St. Louis, Mo. : C.V. Mosby, 1982.</t>
        </is>
      </c>
      <c r="M309" t="inlineStr">
        <is>
          <t>1982</t>
        </is>
      </c>
      <c r="O309" t="inlineStr">
        <is>
          <t>eng</t>
        </is>
      </c>
      <c r="P309" t="inlineStr">
        <is>
          <t>mou</t>
        </is>
      </c>
      <c r="R309" t="inlineStr">
        <is>
          <t xml:space="preserve">BF </t>
        </is>
      </c>
      <c r="S309" t="n">
        <v>5</v>
      </c>
      <c r="T309" t="n">
        <v>5</v>
      </c>
      <c r="U309" t="inlineStr">
        <is>
          <t>1996-04-22</t>
        </is>
      </c>
      <c r="V309" t="inlineStr">
        <is>
          <t>1996-04-22</t>
        </is>
      </c>
      <c r="W309" t="inlineStr">
        <is>
          <t>1991-05-01</t>
        </is>
      </c>
      <c r="X309" t="inlineStr">
        <is>
          <t>1991-05-01</t>
        </is>
      </c>
      <c r="Y309" t="n">
        <v>337</v>
      </c>
      <c r="Z309" t="n">
        <v>265</v>
      </c>
      <c r="AA309" t="n">
        <v>270</v>
      </c>
      <c r="AB309" t="n">
        <v>6</v>
      </c>
      <c r="AC309" t="n">
        <v>6</v>
      </c>
      <c r="AD309" t="n">
        <v>11</v>
      </c>
      <c r="AE309" t="n">
        <v>11</v>
      </c>
      <c r="AF309" t="n">
        <v>5</v>
      </c>
      <c r="AG309" t="n">
        <v>5</v>
      </c>
      <c r="AH309" t="n">
        <v>1</v>
      </c>
      <c r="AI309" t="n">
        <v>1</v>
      </c>
      <c r="AJ309" t="n">
        <v>3</v>
      </c>
      <c r="AK309" t="n">
        <v>3</v>
      </c>
      <c r="AL309" t="n">
        <v>5</v>
      </c>
      <c r="AM309" t="n">
        <v>5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HYPERLINK("https://creighton-primo.hosted.exlibrisgroup.com/primo-explore/search?tab=default_tab&amp;search_scope=EVERYTHING&amp;vid=01CRU&amp;lang=en_US&amp;offset=0&amp;query=any,contains,991005161409702656","Catalog Record")</f>
        <v/>
      </c>
      <c r="AT309">
        <f>HYPERLINK("http://www.worldcat.org/oclc/7795166","WorldCat Record")</f>
        <v/>
      </c>
      <c r="AU309" t="inlineStr">
        <is>
          <t>29866533:eng</t>
        </is>
      </c>
      <c r="AV309" t="inlineStr">
        <is>
          <t>7795166</t>
        </is>
      </c>
      <c r="AW309" t="inlineStr">
        <is>
          <t>991005161409702656</t>
        </is>
      </c>
      <c r="AX309" t="inlineStr">
        <is>
          <t>991005161409702656</t>
        </is>
      </c>
      <c r="AY309" t="inlineStr">
        <is>
          <t>2267923920002656</t>
        </is>
      </c>
      <c r="AZ309" t="inlineStr">
        <is>
          <t>BOOK</t>
        </is>
      </c>
      <c r="BB309" t="inlineStr">
        <is>
          <t>9780801647680</t>
        </is>
      </c>
      <c r="BC309" t="inlineStr">
        <is>
          <t>32285000600014</t>
        </is>
      </c>
      <c r="BD309" t="inlineStr">
        <is>
          <t>893443506</t>
        </is>
      </c>
    </row>
    <row r="310">
      <c r="A310" t="inlineStr">
        <is>
          <t>No</t>
        </is>
      </c>
      <c r="B310" t="inlineStr">
        <is>
          <t>BF31 .W49</t>
        </is>
      </c>
      <c r="C310" t="inlineStr">
        <is>
          <t>0                      BF 0031000W  49</t>
        </is>
      </c>
      <c r="D310" t="inlineStr">
        <is>
          <t>The psychology almanac : a handbook for students / [by] Howard E. Wilkening, in collaboration with Gregory Wilkening and Peter Wilkening.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Wilkening, Howard E.</t>
        </is>
      </c>
      <c r="L310" t="inlineStr">
        <is>
          <t>Monterey, Calif. : Brooks/Cole Pub. Co., [1973]</t>
        </is>
      </c>
      <c r="M310" t="inlineStr">
        <is>
          <t>1973</t>
        </is>
      </c>
      <c r="O310" t="inlineStr">
        <is>
          <t>eng</t>
        </is>
      </c>
      <c r="P310" t="inlineStr">
        <is>
          <t>cau</t>
        </is>
      </c>
      <c r="R310" t="inlineStr">
        <is>
          <t xml:space="preserve">BF </t>
        </is>
      </c>
      <c r="S310" t="n">
        <v>5</v>
      </c>
      <c r="T310" t="n">
        <v>5</v>
      </c>
      <c r="U310" t="inlineStr">
        <is>
          <t>2009-02-08</t>
        </is>
      </c>
      <c r="V310" t="inlineStr">
        <is>
          <t>2009-02-08</t>
        </is>
      </c>
      <c r="W310" t="inlineStr">
        <is>
          <t>1992-04-15</t>
        </is>
      </c>
      <c r="X310" t="inlineStr">
        <is>
          <t>1992-04-15</t>
        </is>
      </c>
      <c r="Y310" t="n">
        <v>248</v>
      </c>
      <c r="Z310" t="n">
        <v>207</v>
      </c>
      <c r="AA310" t="n">
        <v>208</v>
      </c>
      <c r="AB310" t="n">
        <v>3</v>
      </c>
      <c r="AC310" t="n">
        <v>3</v>
      </c>
      <c r="AD310" t="n">
        <v>10</v>
      </c>
      <c r="AE310" t="n">
        <v>10</v>
      </c>
      <c r="AF310" t="n">
        <v>5</v>
      </c>
      <c r="AG310" t="n">
        <v>5</v>
      </c>
      <c r="AH310" t="n">
        <v>0</v>
      </c>
      <c r="AI310" t="n">
        <v>0</v>
      </c>
      <c r="AJ310" t="n">
        <v>4</v>
      </c>
      <c r="AK310" t="n">
        <v>4</v>
      </c>
      <c r="AL310" t="n">
        <v>2</v>
      </c>
      <c r="AM310" t="n">
        <v>2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HYPERLINK("http://catalog.hathitrust.org/Record/000012212","HathiTrust Record")</f>
        <v/>
      </c>
      <c r="AS310">
        <f>HYPERLINK("https://creighton-primo.hosted.exlibrisgroup.com/primo-explore/search?tab=default_tab&amp;search_scope=EVERYTHING&amp;vid=01CRU&amp;lang=en_US&amp;offset=0&amp;query=any,contains,991003287919702656","Catalog Record")</f>
        <v/>
      </c>
      <c r="AT310">
        <f>HYPERLINK("http://www.worldcat.org/oclc/810116","WorldCat Record")</f>
        <v/>
      </c>
      <c r="AU310" t="inlineStr">
        <is>
          <t>1089556774:eng</t>
        </is>
      </c>
      <c r="AV310" t="inlineStr">
        <is>
          <t>810116</t>
        </is>
      </c>
      <c r="AW310" t="inlineStr">
        <is>
          <t>991003287919702656</t>
        </is>
      </c>
      <c r="AX310" t="inlineStr">
        <is>
          <t>991003287919702656</t>
        </is>
      </c>
      <c r="AY310" t="inlineStr">
        <is>
          <t>2268855930002656</t>
        </is>
      </c>
      <c r="AZ310" t="inlineStr">
        <is>
          <t>BOOK</t>
        </is>
      </c>
      <c r="BB310" t="inlineStr">
        <is>
          <t>9780818500206</t>
        </is>
      </c>
      <c r="BC310" t="inlineStr">
        <is>
          <t>32285001062362</t>
        </is>
      </c>
      <c r="BD310" t="inlineStr">
        <is>
          <t>893787167</t>
        </is>
      </c>
    </row>
    <row r="311">
      <c r="A311" t="inlineStr">
        <is>
          <t>No</t>
        </is>
      </c>
      <c r="B311" t="inlineStr">
        <is>
          <t>BF311 .A5894 1983</t>
        </is>
      </c>
      <c r="C311" t="inlineStr">
        <is>
          <t>0                      BF 0311000A  5894        1983</t>
        </is>
      </c>
      <c r="D311" t="inlineStr">
        <is>
          <t>The architecture of cognition / John R. Anderson.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Anderson, John R. (John Robert), 1947-</t>
        </is>
      </c>
      <c r="L311" t="inlineStr">
        <is>
          <t>Cambridge, Mass. : Harvard University Press, 1983.</t>
        </is>
      </c>
      <c r="M311" t="inlineStr">
        <is>
          <t>1983</t>
        </is>
      </c>
      <c r="O311" t="inlineStr">
        <is>
          <t>eng</t>
        </is>
      </c>
      <c r="P311" t="inlineStr">
        <is>
          <t>mau</t>
        </is>
      </c>
      <c r="Q311" t="inlineStr">
        <is>
          <t>Cognitive science series ; 5</t>
        </is>
      </c>
      <c r="R311" t="inlineStr">
        <is>
          <t xml:space="preserve">BF </t>
        </is>
      </c>
      <c r="S311" t="n">
        <v>2</v>
      </c>
      <c r="T311" t="n">
        <v>2</v>
      </c>
      <c r="U311" t="inlineStr">
        <is>
          <t>1997-03-17</t>
        </is>
      </c>
      <c r="V311" t="inlineStr">
        <is>
          <t>1997-03-17</t>
        </is>
      </c>
      <c r="W311" t="inlineStr">
        <is>
          <t>1991-07-16</t>
        </is>
      </c>
      <c r="X311" t="inlineStr">
        <is>
          <t>1991-07-16</t>
        </is>
      </c>
      <c r="Y311" t="n">
        <v>670</v>
      </c>
      <c r="Z311" t="n">
        <v>489</v>
      </c>
      <c r="AA311" t="n">
        <v>505</v>
      </c>
      <c r="AB311" t="n">
        <v>3</v>
      </c>
      <c r="AC311" t="n">
        <v>3</v>
      </c>
      <c r="AD311" t="n">
        <v>26</v>
      </c>
      <c r="AE311" t="n">
        <v>26</v>
      </c>
      <c r="AF311" t="n">
        <v>9</v>
      </c>
      <c r="AG311" t="n">
        <v>9</v>
      </c>
      <c r="AH311" t="n">
        <v>7</v>
      </c>
      <c r="AI311" t="n">
        <v>7</v>
      </c>
      <c r="AJ311" t="n">
        <v>16</v>
      </c>
      <c r="AK311" t="n">
        <v>16</v>
      </c>
      <c r="AL311" t="n">
        <v>2</v>
      </c>
      <c r="AM311" t="n">
        <v>2</v>
      </c>
      <c r="AN311" t="n">
        <v>0</v>
      </c>
      <c r="AO311" t="n">
        <v>0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HYPERLINK("https://creighton-primo.hosted.exlibrisgroup.com/primo-explore/search?tab=default_tab&amp;search_scope=EVERYTHING&amp;vid=01CRU&amp;lang=en_US&amp;offset=0&amp;query=any,contains,991000120459702656","Catalog Record")</f>
        <v/>
      </c>
      <c r="AT311">
        <f>HYPERLINK("http://www.worldcat.org/oclc/9066377","WorldCat Record")</f>
        <v/>
      </c>
      <c r="AU311" t="inlineStr">
        <is>
          <t>5090443358:eng</t>
        </is>
      </c>
      <c r="AV311" t="inlineStr">
        <is>
          <t>9066377</t>
        </is>
      </c>
      <c r="AW311" t="inlineStr">
        <is>
          <t>991000120459702656</t>
        </is>
      </c>
      <c r="AX311" t="inlineStr">
        <is>
          <t>991000120459702656</t>
        </is>
      </c>
      <c r="AY311" t="inlineStr">
        <is>
          <t>2269827460002656</t>
        </is>
      </c>
      <c r="AZ311" t="inlineStr">
        <is>
          <t>BOOK</t>
        </is>
      </c>
      <c r="BB311" t="inlineStr">
        <is>
          <t>9780674044258</t>
        </is>
      </c>
      <c r="BC311" t="inlineStr">
        <is>
          <t>32285000675719</t>
        </is>
      </c>
      <c r="BD311" t="inlineStr">
        <is>
          <t>893701854</t>
        </is>
      </c>
    </row>
    <row r="312">
      <c r="A312" t="inlineStr">
        <is>
          <t>No</t>
        </is>
      </c>
      <c r="B312" t="inlineStr">
        <is>
          <t>BF311 .A5895 1985</t>
        </is>
      </c>
      <c r="C312" t="inlineStr">
        <is>
          <t>0                      BF 0311000A  5895        1985</t>
        </is>
      </c>
      <c r="D312" t="inlineStr">
        <is>
          <t>Cognitive psychology and its implications / John R. Anderson.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Anderson, John R. (John Robert), 1947-</t>
        </is>
      </c>
      <c r="L312" t="inlineStr">
        <is>
          <t>New York : W.H. Freeman, c1985.</t>
        </is>
      </c>
      <c r="M312" t="inlineStr">
        <is>
          <t>1985</t>
        </is>
      </c>
      <c r="N312" t="inlineStr">
        <is>
          <t>2nd ed.</t>
        </is>
      </c>
      <c r="O312" t="inlineStr">
        <is>
          <t>eng</t>
        </is>
      </c>
      <c r="P312" t="inlineStr">
        <is>
          <t>nyu</t>
        </is>
      </c>
      <c r="Q312" t="inlineStr">
        <is>
          <t>A Series of books in psychology</t>
        </is>
      </c>
      <c r="R312" t="inlineStr">
        <is>
          <t xml:space="preserve">BF </t>
        </is>
      </c>
      <c r="S312" t="n">
        <v>7</v>
      </c>
      <c r="T312" t="n">
        <v>7</v>
      </c>
      <c r="U312" t="inlineStr">
        <is>
          <t>2008-10-06</t>
        </is>
      </c>
      <c r="V312" t="inlineStr">
        <is>
          <t>2008-10-06</t>
        </is>
      </c>
      <c r="W312" t="inlineStr">
        <is>
          <t>1990-03-28</t>
        </is>
      </c>
      <c r="X312" t="inlineStr">
        <is>
          <t>1990-03-28</t>
        </is>
      </c>
      <c r="Y312" t="n">
        <v>465</v>
      </c>
      <c r="Z312" t="n">
        <v>305</v>
      </c>
      <c r="AA312" t="n">
        <v>851</v>
      </c>
      <c r="AB312" t="n">
        <v>1</v>
      </c>
      <c r="AC312" t="n">
        <v>3</v>
      </c>
      <c r="AD312" t="n">
        <v>12</v>
      </c>
      <c r="AE312" t="n">
        <v>38</v>
      </c>
      <c r="AF312" t="n">
        <v>3</v>
      </c>
      <c r="AG312" t="n">
        <v>20</v>
      </c>
      <c r="AH312" t="n">
        <v>3</v>
      </c>
      <c r="AI312" t="n">
        <v>8</v>
      </c>
      <c r="AJ312" t="n">
        <v>9</v>
      </c>
      <c r="AK312" t="n">
        <v>19</v>
      </c>
      <c r="AL312" t="n">
        <v>0</v>
      </c>
      <c r="AM312" t="n">
        <v>2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HYPERLINK("https://creighton-primo.hosted.exlibrisgroup.com/primo-explore/search?tab=default_tab&amp;search_scope=EVERYTHING&amp;vid=01CRU&amp;lang=en_US&amp;offset=0&amp;query=any,contains,991000488549702656","Catalog Record")</f>
        <v/>
      </c>
      <c r="AT312">
        <f>HYPERLINK("http://www.worldcat.org/oclc/11090808","WorldCat Record")</f>
        <v/>
      </c>
      <c r="AU312" t="inlineStr">
        <is>
          <t>4087951:eng</t>
        </is>
      </c>
      <c r="AV312" t="inlineStr">
        <is>
          <t>11090808</t>
        </is>
      </c>
      <c r="AW312" t="inlineStr">
        <is>
          <t>991000488549702656</t>
        </is>
      </c>
      <c r="AX312" t="inlineStr">
        <is>
          <t>991000488549702656</t>
        </is>
      </c>
      <c r="AY312" t="inlineStr">
        <is>
          <t>2270871540002656</t>
        </is>
      </c>
      <c r="AZ312" t="inlineStr">
        <is>
          <t>BOOK</t>
        </is>
      </c>
      <c r="BB312" t="inlineStr">
        <is>
          <t>9780716716860</t>
        </is>
      </c>
      <c r="BC312" t="inlineStr">
        <is>
          <t>32285000098987</t>
        </is>
      </c>
      <c r="BD312" t="inlineStr">
        <is>
          <t>893502523</t>
        </is>
      </c>
    </row>
    <row r="313">
      <c r="A313" t="inlineStr">
        <is>
          <t>No</t>
        </is>
      </c>
      <c r="B313" t="inlineStr">
        <is>
          <t>BF311 .B226 1988</t>
        </is>
      </c>
      <c r="C313" t="inlineStr">
        <is>
          <t>0                      BF 0311000B  226         1988</t>
        </is>
      </c>
      <c r="D313" t="inlineStr">
        <is>
          <t>A cognitive theory of consciousness / Bernard J. Baars.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Baars, Bernard J.</t>
        </is>
      </c>
      <c r="L313" t="inlineStr">
        <is>
          <t>Cambridge [England] ; New York : Cambridge University Press, 1988.</t>
        </is>
      </c>
      <c r="M313" t="inlineStr">
        <is>
          <t>1988</t>
        </is>
      </c>
      <c r="O313" t="inlineStr">
        <is>
          <t>eng</t>
        </is>
      </c>
      <c r="P313" t="inlineStr">
        <is>
          <t>enk</t>
        </is>
      </c>
      <c r="R313" t="inlineStr">
        <is>
          <t xml:space="preserve">BF </t>
        </is>
      </c>
      <c r="S313" t="n">
        <v>2</v>
      </c>
      <c r="T313" t="n">
        <v>2</v>
      </c>
      <c r="U313" t="inlineStr">
        <is>
          <t>2003-10-12</t>
        </is>
      </c>
      <c r="V313" t="inlineStr">
        <is>
          <t>2003-10-12</t>
        </is>
      </c>
      <c r="W313" t="inlineStr">
        <is>
          <t>1989-11-01</t>
        </is>
      </c>
      <c r="X313" t="inlineStr">
        <is>
          <t>1989-11-01</t>
        </is>
      </c>
      <c r="Y313" t="n">
        <v>480</v>
      </c>
      <c r="Z313" t="n">
        <v>327</v>
      </c>
      <c r="AA313" t="n">
        <v>352</v>
      </c>
      <c r="AB313" t="n">
        <v>3</v>
      </c>
      <c r="AC313" t="n">
        <v>3</v>
      </c>
      <c r="AD313" t="n">
        <v>18</v>
      </c>
      <c r="AE313" t="n">
        <v>19</v>
      </c>
      <c r="AF313" t="n">
        <v>3</v>
      </c>
      <c r="AG313" t="n">
        <v>4</v>
      </c>
      <c r="AH313" t="n">
        <v>7</v>
      </c>
      <c r="AI313" t="n">
        <v>7</v>
      </c>
      <c r="AJ313" t="n">
        <v>11</v>
      </c>
      <c r="AK313" t="n">
        <v>11</v>
      </c>
      <c r="AL313" t="n">
        <v>2</v>
      </c>
      <c r="AM313" t="n">
        <v>2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HYPERLINK("https://creighton-primo.hosted.exlibrisgroup.com/primo-explore/search?tab=default_tab&amp;search_scope=EVERYTHING&amp;vid=01CRU&amp;lang=en_US&amp;offset=0&amp;query=any,contains,991001101799702656","Catalog Record")</f>
        <v/>
      </c>
      <c r="AT313">
        <f>HYPERLINK("http://www.worldcat.org/oclc/16354559","WorldCat Record")</f>
        <v/>
      </c>
      <c r="AU313" t="inlineStr">
        <is>
          <t>101275:eng</t>
        </is>
      </c>
      <c r="AV313" t="inlineStr">
        <is>
          <t>16354559</t>
        </is>
      </c>
      <c r="AW313" t="inlineStr">
        <is>
          <t>991001101799702656</t>
        </is>
      </c>
      <c r="AX313" t="inlineStr">
        <is>
          <t>991001101799702656</t>
        </is>
      </c>
      <c r="AY313" t="inlineStr">
        <is>
          <t>2254708820002656</t>
        </is>
      </c>
      <c r="AZ313" t="inlineStr">
        <is>
          <t>BOOK</t>
        </is>
      </c>
      <c r="BB313" t="inlineStr">
        <is>
          <t>9780521301336</t>
        </is>
      </c>
      <c r="BC313" t="inlineStr">
        <is>
          <t>32285000011089</t>
        </is>
      </c>
      <c r="BD313" t="inlineStr">
        <is>
          <t>893237866</t>
        </is>
      </c>
    </row>
    <row r="314">
      <c r="A314" t="inlineStr">
        <is>
          <t>No</t>
        </is>
      </c>
      <c r="B314" t="inlineStr">
        <is>
          <t>BF311 .B283 1988</t>
        </is>
      </c>
      <c r="C314" t="inlineStr">
        <is>
          <t>0                      BF 0311000B  283         1988</t>
        </is>
      </c>
      <c r="D314" t="inlineStr">
        <is>
          <t>Applied cognitive psychology : an information-processing framework / Paul Barber.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Barber, Paul J.</t>
        </is>
      </c>
      <c r="L314" t="inlineStr">
        <is>
          <t>London ; New York : Methuen, 1988.</t>
        </is>
      </c>
      <c r="M314" t="inlineStr">
        <is>
          <t>1988</t>
        </is>
      </c>
      <c r="O314" t="inlineStr">
        <is>
          <t>eng</t>
        </is>
      </c>
      <c r="P314" t="inlineStr">
        <is>
          <t>enk</t>
        </is>
      </c>
      <c r="R314" t="inlineStr">
        <is>
          <t xml:space="preserve">BF </t>
        </is>
      </c>
      <c r="S314" t="n">
        <v>4</v>
      </c>
      <c r="T314" t="n">
        <v>4</v>
      </c>
      <c r="U314" t="inlineStr">
        <is>
          <t>2006-07-27</t>
        </is>
      </c>
      <c r="V314" t="inlineStr">
        <is>
          <t>2006-07-27</t>
        </is>
      </c>
      <c r="W314" t="inlineStr">
        <is>
          <t>1990-04-23</t>
        </is>
      </c>
      <c r="X314" t="inlineStr">
        <is>
          <t>1990-04-23</t>
        </is>
      </c>
      <c r="Y314" t="n">
        <v>401</v>
      </c>
      <c r="Z314" t="n">
        <v>261</v>
      </c>
      <c r="AA314" t="n">
        <v>317</v>
      </c>
      <c r="AB314" t="n">
        <v>6</v>
      </c>
      <c r="AC314" t="n">
        <v>6</v>
      </c>
      <c r="AD314" t="n">
        <v>13</v>
      </c>
      <c r="AE314" t="n">
        <v>15</v>
      </c>
      <c r="AF314" t="n">
        <v>4</v>
      </c>
      <c r="AG314" t="n">
        <v>5</v>
      </c>
      <c r="AH314" t="n">
        <v>1</v>
      </c>
      <c r="AI314" t="n">
        <v>2</v>
      </c>
      <c r="AJ314" t="n">
        <v>6</v>
      </c>
      <c r="AK314" t="n">
        <v>7</v>
      </c>
      <c r="AL314" t="n">
        <v>5</v>
      </c>
      <c r="AM314" t="n">
        <v>5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HYPERLINK("https://creighton-primo.hosted.exlibrisgroup.com/primo-explore/search?tab=default_tab&amp;search_scope=EVERYTHING&amp;vid=01CRU&amp;lang=en_US&amp;offset=0&amp;query=any,contains,991001100869702656","Catalog Record")</f>
        <v/>
      </c>
      <c r="AT314">
        <f>HYPERLINK("http://www.worldcat.org/oclc/16352854","WorldCat Record")</f>
        <v/>
      </c>
      <c r="AU314" t="inlineStr">
        <is>
          <t>371932795:eng</t>
        </is>
      </c>
      <c r="AV314" t="inlineStr">
        <is>
          <t>16352854</t>
        </is>
      </c>
      <c r="AW314" t="inlineStr">
        <is>
          <t>991001100869702656</t>
        </is>
      </c>
      <c r="AX314" t="inlineStr">
        <is>
          <t>991001100869702656</t>
        </is>
      </c>
      <c r="AY314" t="inlineStr">
        <is>
          <t>2270292810002656</t>
        </is>
      </c>
      <c r="AZ314" t="inlineStr">
        <is>
          <t>BOOK</t>
        </is>
      </c>
      <c r="BB314" t="inlineStr">
        <is>
          <t>9780416087529</t>
        </is>
      </c>
      <c r="BC314" t="inlineStr">
        <is>
          <t>32285000115534</t>
        </is>
      </c>
      <c r="BD314" t="inlineStr">
        <is>
          <t>893340154</t>
        </is>
      </c>
    </row>
    <row r="315">
      <c r="A315" t="inlineStr">
        <is>
          <t>No</t>
        </is>
      </c>
      <c r="B315" t="inlineStr">
        <is>
          <t>BF311 .B29</t>
        </is>
      </c>
      <c r="C315" t="inlineStr">
        <is>
          <t>0                      BF 0311000B  29</t>
        </is>
      </c>
      <c r="D315" t="inlineStr">
        <is>
          <t>Perception in everyday life / [by] S. Howard Bartley.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Bartley, S. Howard (Samuel Howard), 1901-1988.</t>
        </is>
      </c>
      <c r="L315" t="inlineStr">
        <is>
          <t>New York : Harper &amp; Row, [1972]</t>
        </is>
      </c>
      <c r="M315" t="inlineStr">
        <is>
          <t>1972</t>
        </is>
      </c>
      <c r="O315" t="inlineStr">
        <is>
          <t>eng</t>
        </is>
      </c>
      <c r="P315" t="inlineStr">
        <is>
          <t>nyu</t>
        </is>
      </c>
      <c r="R315" t="inlineStr">
        <is>
          <t xml:space="preserve">BF </t>
        </is>
      </c>
      <c r="S315" t="n">
        <v>3</v>
      </c>
      <c r="T315" t="n">
        <v>3</v>
      </c>
      <c r="U315" t="inlineStr">
        <is>
          <t>1994-11-28</t>
        </is>
      </c>
      <c r="V315" t="inlineStr">
        <is>
          <t>1994-11-28</t>
        </is>
      </c>
      <c r="W315" t="inlineStr">
        <is>
          <t>1992-04-15</t>
        </is>
      </c>
      <c r="X315" t="inlineStr">
        <is>
          <t>1992-04-15</t>
        </is>
      </c>
      <c r="Y315" t="n">
        <v>384</v>
      </c>
      <c r="Z315" t="n">
        <v>271</v>
      </c>
      <c r="AA315" t="n">
        <v>273</v>
      </c>
      <c r="AB315" t="n">
        <v>3</v>
      </c>
      <c r="AC315" t="n">
        <v>3</v>
      </c>
      <c r="AD315" t="n">
        <v>13</v>
      </c>
      <c r="AE315" t="n">
        <v>13</v>
      </c>
      <c r="AF315" t="n">
        <v>3</v>
      </c>
      <c r="AG315" t="n">
        <v>3</v>
      </c>
      <c r="AH315" t="n">
        <v>2</v>
      </c>
      <c r="AI315" t="n">
        <v>2</v>
      </c>
      <c r="AJ315" t="n">
        <v>10</v>
      </c>
      <c r="AK315" t="n">
        <v>10</v>
      </c>
      <c r="AL315" t="n">
        <v>2</v>
      </c>
      <c r="AM315" t="n">
        <v>2</v>
      </c>
      <c r="AN315" t="n">
        <v>0</v>
      </c>
      <c r="AO315" t="n">
        <v>0</v>
      </c>
      <c r="AP315" t="inlineStr">
        <is>
          <t>No</t>
        </is>
      </c>
      <c r="AQ315" t="inlineStr">
        <is>
          <t>Yes</t>
        </is>
      </c>
      <c r="AR315">
        <f>HYPERLINK("http://catalog.hathitrust.org/Record/004444351","HathiTrust Record")</f>
        <v/>
      </c>
      <c r="AS315">
        <f>HYPERLINK("https://creighton-primo.hosted.exlibrisgroup.com/primo-explore/search?tab=default_tab&amp;search_scope=EVERYTHING&amp;vid=01CRU&amp;lang=en_US&amp;offset=0&amp;query=any,contains,991002412679702656","Catalog Record")</f>
        <v/>
      </c>
      <c r="AT315">
        <f>HYPERLINK("http://www.worldcat.org/oclc/340376","WorldCat Record")</f>
        <v/>
      </c>
      <c r="AU315" t="inlineStr">
        <is>
          <t>776179238:eng</t>
        </is>
      </c>
      <c r="AV315" t="inlineStr">
        <is>
          <t>340376</t>
        </is>
      </c>
      <c r="AW315" t="inlineStr">
        <is>
          <t>991002412679702656</t>
        </is>
      </c>
      <c r="AX315" t="inlineStr">
        <is>
          <t>991002412679702656</t>
        </is>
      </c>
      <c r="AY315" t="inlineStr">
        <is>
          <t>2262529590002656</t>
        </is>
      </c>
      <c r="AZ315" t="inlineStr">
        <is>
          <t>BOOK</t>
        </is>
      </c>
      <c r="BB315" t="inlineStr">
        <is>
          <t>9780060405120</t>
        </is>
      </c>
      <c r="BC315" t="inlineStr">
        <is>
          <t>32285001062339</t>
        </is>
      </c>
      <c r="BD315" t="inlineStr">
        <is>
          <t>893329044</t>
        </is>
      </c>
    </row>
    <row r="316">
      <c r="A316" t="inlineStr">
        <is>
          <t>No</t>
        </is>
      </c>
      <c r="B316" t="inlineStr">
        <is>
          <t>BF311 .B48</t>
        </is>
      </c>
      <c r="C316" t="inlineStr">
        <is>
          <t>0                      BF 0311000B  48</t>
        </is>
      </c>
      <c r="D316" t="inlineStr">
        <is>
          <t>Culture and cognition : readings in cross-cultural psychology / edited by J. W. Berry and P. R. Dasen.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Berry, John W., compiler.</t>
        </is>
      </c>
      <c r="L316" t="inlineStr">
        <is>
          <t>London : Methuen, [1974]</t>
        </is>
      </c>
      <c r="M316" t="inlineStr">
        <is>
          <t>1974</t>
        </is>
      </c>
      <c r="O316" t="inlineStr">
        <is>
          <t>eng</t>
        </is>
      </c>
      <c r="P316" t="inlineStr">
        <is>
          <t>enk</t>
        </is>
      </c>
      <c r="Q316" t="inlineStr">
        <is>
          <t>Methuen's manuals of modern psychology</t>
        </is>
      </c>
      <c r="R316" t="inlineStr">
        <is>
          <t xml:space="preserve">BF </t>
        </is>
      </c>
      <c r="S316" t="n">
        <v>3</v>
      </c>
      <c r="T316" t="n">
        <v>3</v>
      </c>
      <c r="U316" t="inlineStr">
        <is>
          <t>1992-10-16</t>
        </is>
      </c>
      <c r="V316" t="inlineStr">
        <is>
          <t>1992-10-16</t>
        </is>
      </c>
      <c r="W316" t="inlineStr">
        <is>
          <t>1991-02-04</t>
        </is>
      </c>
      <c r="X316" t="inlineStr">
        <is>
          <t>1991-02-04</t>
        </is>
      </c>
      <c r="Y316" t="n">
        <v>639</v>
      </c>
      <c r="Z316" t="n">
        <v>417</v>
      </c>
      <c r="AA316" t="n">
        <v>441</v>
      </c>
      <c r="AB316" t="n">
        <v>2</v>
      </c>
      <c r="AC316" t="n">
        <v>2</v>
      </c>
      <c r="AD316" t="n">
        <v>21</v>
      </c>
      <c r="AE316" t="n">
        <v>21</v>
      </c>
      <c r="AF316" t="n">
        <v>7</v>
      </c>
      <c r="AG316" t="n">
        <v>7</v>
      </c>
      <c r="AH316" t="n">
        <v>5</v>
      </c>
      <c r="AI316" t="n">
        <v>5</v>
      </c>
      <c r="AJ316" t="n">
        <v>12</v>
      </c>
      <c r="AK316" t="n">
        <v>12</v>
      </c>
      <c r="AL316" t="n">
        <v>1</v>
      </c>
      <c r="AM316" t="n">
        <v>1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HYPERLINK("http://catalog.hathitrust.org/Record/000013242","HathiTrust Record")</f>
        <v/>
      </c>
      <c r="AS316">
        <f>HYPERLINK("https://creighton-primo.hosted.exlibrisgroup.com/primo-explore/search?tab=default_tab&amp;search_scope=EVERYTHING&amp;vid=01CRU&amp;lang=en_US&amp;offset=0&amp;query=any,contains,991003329309702656","Catalog Record")</f>
        <v/>
      </c>
      <c r="AT316">
        <f>HYPERLINK("http://www.worldcat.org/oclc/859154","WorldCat Record")</f>
        <v/>
      </c>
      <c r="AU316" t="inlineStr">
        <is>
          <t>890186694:eng</t>
        </is>
      </c>
      <c r="AV316" t="inlineStr">
        <is>
          <t>859154</t>
        </is>
      </c>
      <c r="AW316" t="inlineStr">
        <is>
          <t>991003329309702656</t>
        </is>
      </c>
      <c r="AX316" t="inlineStr">
        <is>
          <t>991003329309702656</t>
        </is>
      </c>
      <c r="AY316" t="inlineStr">
        <is>
          <t>2267679370002656</t>
        </is>
      </c>
      <c r="AZ316" t="inlineStr">
        <is>
          <t>BOOK</t>
        </is>
      </c>
      <c r="BB316" t="inlineStr">
        <is>
          <t>9780416751703</t>
        </is>
      </c>
      <c r="BC316" t="inlineStr">
        <is>
          <t>32285000470871</t>
        </is>
      </c>
      <c r="BD316" t="inlineStr">
        <is>
          <t>893410179</t>
        </is>
      </c>
    </row>
    <row r="317">
      <c r="A317" t="inlineStr">
        <is>
          <t>No</t>
        </is>
      </c>
      <c r="B317" t="inlineStr">
        <is>
          <t>BF311 .B64</t>
        </is>
      </c>
      <c r="C317" t="inlineStr">
        <is>
          <t>0                      BF 0311000B  64</t>
        </is>
      </c>
      <c r="D317" t="inlineStr">
        <is>
          <t>Cognitive processes / Lyle E. Bourne, Jr., Roger L. Dominowski, Elizabeth F. Loftus.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Bourne, Lyle Eugene, 1932-</t>
        </is>
      </c>
      <c r="L317" t="inlineStr">
        <is>
          <t>Englewood Cliffs, N.J. : Prentice-Hall, c1979.</t>
        </is>
      </c>
      <c r="M317" t="inlineStr">
        <is>
          <t>1979</t>
        </is>
      </c>
      <c r="O317" t="inlineStr">
        <is>
          <t>eng</t>
        </is>
      </c>
      <c r="P317" t="inlineStr">
        <is>
          <t>nju</t>
        </is>
      </c>
      <c r="Q317" t="inlineStr">
        <is>
          <t>Prentice-Hall series in experimental psychology</t>
        </is>
      </c>
      <c r="R317" t="inlineStr">
        <is>
          <t xml:space="preserve">BF </t>
        </is>
      </c>
      <c r="S317" t="n">
        <v>7</v>
      </c>
      <c r="T317" t="n">
        <v>7</v>
      </c>
      <c r="U317" t="inlineStr">
        <is>
          <t>2001-04-30</t>
        </is>
      </c>
      <c r="V317" t="inlineStr">
        <is>
          <t>2001-04-30</t>
        </is>
      </c>
      <c r="W317" t="inlineStr">
        <is>
          <t>1991-05-01</t>
        </is>
      </c>
      <c r="X317" t="inlineStr">
        <is>
          <t>1991-05-01</t>
        </is>
      </c>
      <c r="Y317" t="n">
        <v>372</v>
      </c>
      <c r="Z317" t="n">
        <v>244</v>
      </c>
      <c r="AA317" t="n">
        <v>361</v>
      </c>
      <c r="AB317" t="n">
        <v>3</v>
      </c>
      <c r="AC317" t="n">
        <v>3</v>
      </c>
      <c r="AD317" t="n">
        <v>11</v>
      </c>
      <c r="AE317" t="n">
        <v>19</v>
      </c>
      <c r="AF317" t="n">
        <v>2</v>
      </c>
      <c r="AG317" t="n">
        <v>5</v>
      </c>
      <c r="AH317" t="n">
        <v>4</v>
      </c>
      <c r="AI317" t="n">
        <v>7</v>
      </c>
      <c r="AJ317" t="n">
        <v>5</v>
      </c>
      <c r="AK317" t="n">
        <v>10</v>
      </c>
      <c r="AL317" t="n">
        <v>2</v>
      </c>
      <c r="AM317" t="n">
        <v>2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HYPERLINK("http://catalog.hathitrust.org/Record/007116128","HathiTrust Record")</f>
        <v/>
      </c>
      <c r="AS317">
        <f>HYPERLINK("https://creighton-primo.hosted.exlibrisgroup.com/primo-explore/search?tab=default_tab&amp;search_scope=EVERYTHING&amp;vid=01CRU&amp;lang=en_US&amp;offset=0&amp;query=any,contains,991004564419702656","Catalog Record")</f>
        <v/>
      </c>
      <c r="AT317">
        <f>HYPERLINK("http://www.worldcat.org/oclc/4004156","WorldCat Record")</f>
        <v/>
      </c>
      <c r="AU317" t="inlineStr">
        <is>
          <t>3768485154:eng</t>
        </is>
      </c>
      <c r="AV317" t="inlineStr">
        <is>
          <t>4004156</t>
        </is>
      </c>
      <c r="AW317" t="inlineStr">
        <is>
          <t>991004564419702656</t>
        </is>
      </c>
      <c r="AX317" t="inlineStr">
        <is>
          <t>991004564419702656</t>
        </is>
      </c>
      <c r="AY317" t="inlineStr">
        <is>
          <t>2265229950002656</t>
        </is>
      </c>
      <c r="AZ317" t="inlineStr">
        <is>
          <t>BOOK</t>
        </is>
      </c>
      <c r="BB317" t="inlineStr">
        <is>
          <t>9780131396340</t>
        </is>
      </c>
      <c r="BC317" t="inlineStr">
        <is>
          <t>32285000600063</t>
        </is>
      </c>
      <c r="BD317" t="inlineStr">
        <is>
          <t>893612510</t>
        </is>
      </c>
    </row>
    <row r="318">
      <c r="A318" t="inlineStr">
        <is>
          <t>No</t>
        </is>
      </c>
      <c r="B318" t="inlineStr">
        <is>
          <t>BF311 .B72313</t>
        </is>
      </c>
      <c r="C318" t="inlineStr">
        <is>
          <t>0                      BF 0311000B  72313</t>
        </is>
      </c>
      <c r="D318" t="inlineStr">
        <is>
          <t>Sensory and noetic consciousness : psychology from an empirical standpoint III / Franz Brentano ; edited by Oskar Kraus ; English ed. edited by Linda L. McAlister ; translated by Margarete Schättle and Linda L. McAlister.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Brentano, Franz, 1838-1917.</t>
        </is>
      </c>
      <c r="L318" t="inlineStr">
        <is>
          <t>London : Routledge &amp; Kegan Paul ; New York : Humanities Press, 1981.</t>
        </is>
      </c>
      <c r="M318" t="inlineStr">
        <is>
          <t>1981</t>
        </is>
      </c>
      <c r="O318" t="inlineStr">
        <is>
          <t>eng</t>
        </is>
      </c>
      <c r="P318" t="inlineStr">
        <is>
          <t>enk</t>
        </is>
      </c>
      <c r="Q318" t="inlineStr">
        <is>
          <t>International library of philosophy and scientific method</t>
        </is>
      </c>
      <c r="R318" t="inlineStr">
        <is>
          <t xml:space="preserve">BF </t>
        </is>
      </c>
      <c r="S318" t="n">
        <v>4</v>
      </c>
      <c r="T318" t="n">
        <v>4</v>
      </c>
      <c r="U318" t="inlineStr">
        <is>
          <t>2002-06-17</t>
        </is>
      </c>
      <c r="V318" t="inlineStr">
        <is>
          <t>2002-06-17</t>
        </is>
      </c>
      <c r="W318" t="inlineStr">
        <is>
          <t>1991-05-01</t>
        </is>
      </c>
      <c r="X318" t="inlineStr">
        <is>
          <t>1991-05-01</t>
        </is>
      </c>
      <c r="Y318" t="n">
        <v>281</v>
      </c>
      <c r="Z318" t="n">
        <v>183</v>
      </c>
      <c r="AA318" t="n">
        <v>191</v>
      </c>
      <c r="AB318" t="n">
        <v>2</v>
      </c>
      <c r="AC318" t="n">
        <v>2</v>
      </c>
      <c r="AD318" t="n">
        <v>18</v>
      </c>
      <c r="AE318" t="n">
        <v>18</v>
      </c>
      <c r="AF318" t="n">
        <v>6</v>
      </c>
      <c r="AG318" t="n">
        <v>6</v>
      </c>
      <c r="AH318" t="n">
        <v>3</v>
      </c>
      <c r="AI318" t="n">
        <v>3</v>
      </c>
      <c r="AJ318" t="n">
        <v>15</v>
      </c>
      <c r="AK318" t="n">
        <v>15</v>
      </c>
      <c r="AL318" t="n">
        <v>1</v>
      </c>
      <c r="AM318" t="n">
        <v>1</v>
      </c>
      <c r="AN318" t="n">
        <v>0</v>
      </c>
      <c r="AO318" t="n">
        <v>0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HYPERLINK("https://creighton-primo.hosted.exlibrisgroup.com/primo-explore/search?tab=default_tab&amp;search_scope=EVERYTHING&amp;vid=01CRU&amp;lang=en_US&amp;offset=0&amp;query=any,contains,991004956499702656","Catalog Record")</f>
        <v/>
      </c>
      <c r="AT318">
        <f>HYPERLINK("http://www.worldcat.org/oclc/6278711","WorldCat Record")</f>
        <v/>
      </c>
      <c r="AU318" t="inlineStr">
        <is>
          <t>2908671941:eng</t>
        </is>
      </c>
      <c r="AV318" t="inlineStr">
        <is>
          <t>6278711</t>
        </is>
      </c>
      <c r="AW318" t="inlineStr">
        <is>
          <t>991004956499702656</t>
        </is>
      </c>
      <c r="AX318" t="inlineStr">
        <is>
          <t>991004956499702656</t>
        </is>
      </c>
      <c r="AY318" t="inlineStr">
        <is>
          <t>2266807710002656</t>
        </is>
      </c>
      <c r="AZ318" t="inlineStr">
        <is>
          <t>BOOK</t>
        </is>
      </c>
      <c r="BB318" t="inlineStr">
        <is>
          <t>9780710004048</t>
        </is>
      </c>
      <c r="BC318" t="inlineStr">
        <is>
          <t>32285000600071</t>
        </is>
      </c>
      <c r="BD318" t="inlineStr">
        <is>
          <t>893236102</t>
        </is>
      </c>
    </row>
    <row r="319">
      <c r="A319" t="inlineStr">
        <is>
          <t>No</t>
        </is>
      </c>
      <c r="B319" t="inlineStr">
        <is>
          <t>BF311 .C548</t>
        </is>
      </c>
      <c r="C319" t="inlineStr">
        <is>
          <t>0                      BF 0311000C  548</t>
        </is>
      </c>
      <c r="D319" t="inlineStr">
        <is>
          <t>Cognition and the symbolic processes / edited by Walter B. Weimer and David S. Palermo.</t>
        </is>
      </c>
      <c r="E319" t="inlineStr">
        <is>
          <t>V.2</t>
        </is>
      </c>
      <c r="F319" t="inlineStr">
        <is>
          <t>Yes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L319" t="inlineStr">
        <is>
          <t>Hillsdale, N.J. Lawrence Erlbaum Associates ; New York : distributed by Halsted Press, c1974-1982.</t>
        </is>
      </c>
      <c r="M319" t="inlineStr">
        <is>
          <t>1974</t>
        </is>
      </c>
      <c r="O319" t="inlineStr">
        <is>
          <t>eng</t>
        </is>
      </c>
      <c r="P319" t="inlineStr">
        <is>
          <t>nju</t>
        </is>
      </c>
      <c r="R319" t="inlineStr">
        <is>
          <t xml:space="preserve">BF </t>
        </is>
      </c>
      <c r="S319" t="n">
        <v>2</v>
      </c>
      <c r="T319" t="n">
        <v>2</v>
      </c>
      <c r="U319" t="inlineStr">
        <is>
          <t>2002-08-28</t>
        </is>
      </c>
      <c r="V319" t="inlineStr">
        <is>
          <t>2002-08-28</t>
        </is>
      </c>
      <c r="W319" t="inlineStr">
        <is>
          <t>1991-05-01</t>
        </is>
      </c>
      <c r="X319" t="inlineStr">
        <is>
          <t>1991-05-01</t>
        </is>
      </c>
      <c r="Y319" t="n">
        <v>153</v>
      </c>
      <c r="Z319" t="n">
        <v>114</v>
      </c>
      <c r="AA319" t="n">
        <v>529</v>
      </c>
      <c r="AB319" t="n">
        <v>2</v>
      </c>
      <c r="AC319" t="n">
        <v>3</v>
      </c>
      <c r="AD319" t="n">
        <v>4</v>
      </c>
      <c r="AE319" t="n">
        <v>25</v>
      </c>
      <c r="AF319" t="n">
        <v>1</v>
      </c>
      <c r="AG319" t="n">
        <v>11</v>
      </c>
      <c r="AH319" t="n">
        <v>1</v>
      </c>
      <c r="AI319" t="n">
        <v>8</v>
      </c>
      <c r="AJ319" t="n">
        <v>2</v>
      </c>
      <c r="AK319" t="n">
        <v>12</v>
      </c>
      <c r="AL319" t="n">
        <v>1</v>
      </c>
      <c r="AM319" t="n">
        <v>2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HYPERLINK("http://catalog.hathitrust.org/Record/000164424","HathiTrust Record")</f>
        <v/>
      </c>
      <c r="AS319">
        <f>HYPERLINK("https://creighton-primo.hosted.exlibrisgroup.com/primo-explore/search?tab=default_tab&amp;search_scope=EVERYTHING&amp;vid=01CRU&amp;lang=en_US&amp;offset=0&amp;query=any,contains,991005231559702656","Catalog Record")</f>
        <v/>
      </c>
      <c r="AT319">
        <f>HYPERLINK("http://www.worldcat.org/oclc/8336950","WorldCat Record")</f>
        <v/>
      </c>
      <c r="AU319" t="inlineStr">
        <is>
          <t>353019313:eng</t>
        </is>
      </c>
      <c r="AV319" t="inlineStr">
        <is>
          <t>8336950</t>
        </is>
      </c>
      <c r="AW319" t="inlineStr">
        <is>
          <t>991005231559702656</t>
        </is>
      </c>
      <c r="AX319" t="inlineStr">
        <is>
          <t>991005231559702656</t>
        </is>
      </c>
      <c r="AY319" t="inlineStr">
        <is>
          <t>2262511230002656</t>
        </is>
      </c>
      <c r="AZ319" t="inlineStr">
        <is>
          <t>BOOK</t>
        </is>
      </c>
      <c r="BB319" t="inlineStr">
        <is>
          <t>9780470925508</t>
        </is>
      </c>
      <c r="BC319" t="inlineStr">
        <is>
          <t>32285000600105</t>
        </is>
      </c>
      <c r="BD319" t="inlineStr">
        <is>
          <t>893713687</t>
        </is>
      </c>
    </row>
    <row r="320">
      <c r="A320" t="inlineStr">
        <is>
          <t>No</t>
        </is>
      </c>
      <c r="B320" t="inlineStr">
        <is>
          <t>BF311 .C548</t>
        </is>
      </c>
      <c r="C320" t="inlineStr">
        <is>
          <t>0                      BF 0311000C  548</t>
        </is>
      </c>
      <c r="D320" t="inlineStr">
        <is>
          <t>Cognition and the symbolic processes / edited by Walter B. Weimer and David S. Palermo.</t>
        </is>
      </c>
      <c r="E320" t="inlineStr">
        <is>
          <t>V.1</t>
        </is>
      </c>
      <c r="F320" t="inlineStr">
        <is>
          <t>Yes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L320" t="inlineStr">
        <is>
          <t>Hillsdale, N.J. Lawrence Erlbaum Associates ; New York : distributed by Halsted Press, c1974-1982.</t>
        </is>
      </c>
      <c r="M320" t="inlineStr">
        <is>
          <t>1974</t>
        </is>
      </c>
      <c r="O320" t="inlineStr">
        <is>
          <t>eng</t>
        </is>
      </c>
      <c r="P320" t="inlineStr">
        <is>
          <t>nju</t>
        </is>
      </c>
      <c r="R320" t="inlineStr">
        <is>
          <t xml:space="preserve">BF </t>
        </is>
      </c>
      <c r="S320" t="n">
        <v>0</v>
      </c>
      <c r="T320" t="n">
        <v>2</v>
      </c>
      <c r="V320" t="inlineStr">
        <is>
          <t>2002-08-28</t>
        </is>
      </c>
      <c r="W320" t="inlineStr">
        <is>
          <t>1991-05-01</t>
        </is>
      </c>
      <c r="X320" t="inlineStr">
        <is>
          <t>1991-05-01</t>
        </is>
      </c>
      <c r="Y320" t="n">
        <v>153</v>
      </c>
      <c r="Z320" t="n">
        <v>114</v>
      </c>
      <c r="AA320" t="n">
        <v>529</v>
      </c>
      <c r="AB320" t="n">
        <v>2</v>
      </c>
      <c r="AC320" t="n">
        <v>3</v>
      </c>
      <c r="AD320" t="n">
        <v>4</v>
      </c>
      <c r="AE320" t="n">
        <v>25</v>
      </c>
      <c r="AF320" t="n">
        <v>1</v>
      </c>
      <c r="AG320" t="n">
        <v>11</v>
      </c>
      <c r="AH320" t="n">
        <v>1</v>
      </c>
      <c r="AI320" t="n">
        <v>8</v>
      </c>
      <c r="AJ320" t="n">
        <v>2</v>
      </c>
      <c r="AK320" t="n">
        <v>12</v>
      </c>
      <c r="AL320" t="n">
        <v>1</v>
      </c>
      <c r="AM320" t="n">
        <v>2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HYPERLINK("http://catalog.hathitrust.org/Record/000164424","HathiTrust Record")</f>
        <v/>
      </c>
      <c r="AS320">
        <f>HYPERLINK("https://creighton-primo.hosted.exlibrisgroup.com/primo-explore/search?tab=default_tab&amp;search_scope=EVERYTHING&amp;vid=01CRU&amp;lang=en_US&amp;offset=0&amp;query=any,contains,991005231559702656","Catalog Record")</f>
        <v/>
      </c>
      <c r="AT320">
        <f>HYPERLINK("http://www.worldcat.org/oclc/8336950","WorldCat Record")</f>
        <v/>
      </c>
      <c r="AU320" t="inlineStr">
        <is>
          <t>353019313:eng</t>
        </is>
      </c>
      <c r="AV320" t="inlineStr">
        <is>
          <t>8336950</t>
        </is>
      </c>
      <c r="AW320" t="inlineStr">
        <is>
          <t>991005231559702656</t>
        </is>
      </c>
      <c r="AX320" t="inlineStr">
        <is>
          <t>991005231559702656</t>
        </is>
      </c>
      <c r="AY320" t="inlineStr">
        <is>
          <t>2262511230002656</t>
        </is>
      </c>
      <c r="AZ320" t="inlineStr">
        <is>
          <t>BOOK</t>
        </is>
      </c>
      <c r="BB320" t="inlineStr">
        <is>
          <t>9780470925508</t>
        </is>
      </c>
      <c r="BC320" t="inlineStr">
        <is>
          <t>32285000600097</t>
        </is>
      </c>
      <c r="BD320" t="inlineStr">
        <is>
          <t>893694952</t>
        </is>
      </c>
    </row>
    <row r="321">
      <c r="A321" t="inlineStr">
        <is>
          <t>No</t>
        </is>
      </c>
      <c r="B321" t="inlineStr">
        <is>
          <t>BF311 .C54865 1991</t>
        </is>
      </c>
      <c r="C321" t="inlineStr">
        <is>
          <t>0                      BF 0311000C  54865       1991</t>
        </is>
      </c>
      <c r="D321" t="inlineStr">
        <is>
          <t>Cognition and the symbolic processes : applied and ecological perspectives / edited by Robert R. Hoffman, David S. Palermo.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Hillsdale, N.J. : L. Erlbaum, 1991.</t>
        </is>
      </c>
      <c r="M321" t="inlineStr">
        <is>
          <t>1991</t>
        </is>
      </c>
      <c r="O321" t="inlineStr">
        <is>
          <t>eng</t>
        </is>
      </c>
      <c r="P321" t="inlineStr">
        <is>
          <t>nju</t>
        </is>
      </c>
      <c r="R321" t="inlineStr">
        <is>
          <t xml:space="preserve">BF </t>
        </is>
      </c>
      <c r="S321" t="n">
        <v>3</v>
      </c>
      <c r="T321" t="n">
        <v>3</v>
      </c>
      <c r="U321" t="inlineStr">
        <is>
          <t>2002-08-25</t>
        </is>
      </c>
      <c r="V321" t="inlineStr">
        <is>
          <t>2002-08-25</t>
        </is>
      </c>
      <c r="W321" t="inlineStr">
        <is>
          <t>1991-08-19</t>
        </is>
      </c>
      <c r="X321" t="inlineStr">
        <is>
          <t>1991-08-19</t>
        </is>
      </c>
      <c r="Y321" t="n">
        <v>331</v>
      </c>
      <c r="Z321" t="n">
        <v>275</v>
      </c>
      <c r="AA321" t="n">
        <v>298</v>
      </c>
      <c r="AB321" t="n">
        <v>2</v>
      </c>
      <c r="AC321" t="n">
        <v>2</v>
      </c>
      <c r="AD321" t="n">
        <v>16</v>
      </c>
      <c r="AE321" t="n">
        <v>16</v>
      </c>
      <c r="AF321" t="n">
        <v>5</v>
      </c>
      <c r="AG321" t="n">
        <v>5</v>
      </c>
      <c r="AH321" t="n">
        <v>8</v>
      </c>
      <c r="AI321" t="n">
        <v>8</v>
      </c>
      <c r="AJ321" t="n">
        <v>7</v>
      </c>
      <c r="AK321" t="n">
        <v>7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HYPERLINK("https://creighton-primo.hosted.exlibrisgroup.com/primo-explore/search?tab=default_tab&amp;search_scope=EVERYTHING&amp;vid=01CRU&amp;lang=en_US&amp;offset=0&amp;query=any,contains,991001812939702656","Catalog Record")</f>
        <v/>
      </c>
      <c r="AT321">
        <f>HYPERLINK("http://www.worldcat.org/oclc/22766192","WorldCat Record")</f>
        <v/>
      </c>
      <c r="AU321" t="inlineStr">
        <is>
          <t>4757924962:eng</t>
        </is>
      </c>
      <c r="AV321" t="inlineStr">
        <is>
          <t>22766192</t>
        </is>
      </c>
      <c r="AW321" t="inlineStr">
        <is>
          <t>991001812939702656</t>
        </is>
      </c>
      <c r="AX321" t="inlineStr">
        <is>
          <t>991001812939702656</t>
        </is>
      </c>
      <c r="AY321" t="inlineStr">
        <is>
          <t>2258475130002656</t>
        </is>
      </c>
      <c r="AZ321" t="inlineStr">
        <is>
          <t>BOOK</t>
        </is>
      </c>
      <c r="BB321" t="inlineStr">
        <is>
          <t>9780805809046</t>
        </is>
      </c>
      <c r="BC321" t="inlineStr">
        <is>
          <t>32285000701069</t>
        </is>
      </c>
      <c r="BD321" t="inlineStr">
        <is>
          <t>893238355</t>
        </is>
      </c>
    </row>
    <row r="322">
      <c r="A322" t="inlineStr">
        <is>
          <t>No</t>
        </is>
      </c>
      <c r="B322" t="inlineStr">
        <is>
          <t>BF311 .C54873 1992</t>
        </is>
      </c>
      <c r="C322" t="inlineStr">
        <is>
          <t>0                      BF 0311000C  54873       1992</t>
        </is>
      </c>
      <c r="D322" t="inlineStr">
        <is>
          <t>Cognition : conceptual and methodological issues / Herbert L. Pick, Jr., Paulus van den Broek, and David C. Knill, editors.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L322" t="inlineStr">
        <is>
          <t>Washington, DC : American Psychological Association, c1992.</t>
        </is>
      </c>
      <c r="M322" t="inlineStr">
        <is>
          <t>1992</t>
        </is>
      </c>
      <c r="N322" t="inlineStr">
        <is>
          <t>1st ed.</t>
        </is>
      </c>
      <c r="O322" t="inlineStr">
        <is>
          <t>eng</t>
        </is>
      </c>
      <c r="P322" t="inlineStr">
        <is>
          <t>dcu</t>
        </is>
      </c>
      <c r="R322" t="inlineStr">
        <is>
          <t xml:space="preserve">BF </t>
        </is>
      </c>
      <c r="S322" t="n">
        <v>4</v>
      </c>
      <c r="T322" t="n">
        <v>4</v>
      </c>
      <c r="U322" t="inlineStr">
        <is>
          <t>2005-01-11</t>
        </is>
      </c>
      <c r="V322" t="inlineStr">
        <is>
          <t>2005-01-11</t>
        </is>
      </c>
      <c r="W322" t="inlineStr">
        <is>
          <t>1993-03-17</t>
        </is>
      </c>
      <c r="X322" t="inlineStr">
        <is>
          <t>1993-03-17</t>
        </is>
      </c>
      <c r="Y322" t="n">
        <v>485</v>
      </c>
      <c r="Z322" t="n">
        <v>381</v>
      </c>
      <c r="AA322" t="n">
        <v>450</v>
      </c>
      <c r="AB322" t="n">
        <v>5</v>
      </c>
      <c r="AC322" t="n">
        <v>6</v>
      </c>
      <c r="AD322" t="n">
        <v>27</v>
      </c>
      <c r="AE322" t="n">
        <v>29</v>
      </c>
      <c r="AF322" t="n">
        <v>10</v>
      </c>
      <c r="AG322" t="n">
        <v>11</v>
      </c>
      <c r="AH322" t="n">
        <v>6</v>
      </c>
      <c r="AI322" t="n">
        <v>6</v>
      </c>
      <c r="AJ322" t="n">
        <v>13</v>
      </c>
      <c r="AK322" t="n">
        <v>13</v>
      </c>
      <c r="AL322" t="n">
        <v>4</v>
      </c>
      <c r="AM322" t="n">
        <v>5</v>
      </c>
      <c r="AN322" t="n">
        <v>0</v>
      </c>
      <c r="AO322" t="n">
        <v>0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HYPERLINK("https://creighton-primo.hosted.exlibrisgroup.com/primo-explore/search?tab=default_tab&amp;search_scope=EVERYTHING&amp;vid=01CRU&amp;lang=en_US&amp;offset=0&amp;query=any,contains,991001972319702656","Catalog Record")</f>
        <v/>
      </c>
      <c r="AT322">
        <f>HYPERLINK("http://www.worldcat.org/oclc/25025223","WorldCat Record")</f>
        <v/>
      </c>
      <c r="AU322" t="inlineStr">
        <is>
          <t>1077195761:eng</t>
        </is>
      </c>
      <c r="AV322" t="inlineStr">
        <is>
          <t>25025223</t>
        </is>
      </c>
      <c r="AW322" t="inlineStr">
        <is>
          <t>991001972319702656</t>
        </is>
      </c>
      <c r="AX322" t="inlineStr">
        <is>
          <t>991001972319702656</t>
        </is>
      </c>
      <c r="AY322" t="inlineStr">
        <is>
          <t>2264035820002656</t>
        </is>
      </c>
      <c r="AZ322" t="inlineStr">
        <is>
          <t>BOOK</t>
        </is>
      </c>
      <c r="BB322" t="inlineStr">
        <is>
          <t>9781557981653</t>
        </is>
      </c>
      <c r="BC322" t="inlineStr">
        <is>
          <t>32285001498012</t>
        </is>
      </c>
      <c r="BD322" t="inlineStr">
        <is>
          <t>893238500</t>
        </is>
      </c>
    </row>
    <row r="323">
      <c r="A323" t="inlineStr">
        <is>
          <t>No</t>
        </is>
      </c>
      <c r="B323" t="inlineStr">
        <is>
          <t>BF311 .C55185 1987</t>
        </is>
      </c>
      <c r="C323" t="inlineStr">
        <is>
          <t>0                      BF 0311000C  55185       1987</t>
        </is>
      </c>
      <c r="D323" t="inlineStr">
        <is>
          <t>Cognitive psychology in question / editors, Alan Costall, Arthur Still.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L323" t="inlineStr">
        <is>
          <t>New York : St. Martin's Press, 1987.</t>
        </is>
      </c>
      <c r="M323" t="inlineStr">
        <is>
          <t>1987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BF </t>
        </is>
      </c>
      <c r="S323" t="n">
        <v>1</v>
      </c>
      <c r="T323" t="n">
        <v>1</v>
      </c>
      <c r="U323" t="inlineStr">
        <is>
          <t>1995-12-03</t>
        </is>
      </c>
      <c r="V323" t="inlineStr">
        <is>
          <t>1995-12-03</t>
        </is>
      </c>
      <c r="W323" t="inlineStr">
        <is>
          <t>1991-05-01</t>
        </is>
      </c>
      <c r="X323" t="inlineStr">
        <is>
          <t>1991-05-01</t>
        </is>
      </c>
      <c r="Y323" t="n">
        <v>283</v>
      </c>
      <c r="Z323" t="n">
        <v>249</v>
      </c>
      <c r="AA323" t="n">
        <v>304</v>
      </c>
      <c r="AB323" t="n">
        <v>2</v>
      </c>
      <c r="AC323" t="n">
        <v>3</v>
      </c>
      <c r="AD323" t="n">
        <v>11</v>
      </c>
      <c r="AE323" t="n">
        <v>12</v>
      </c>
      <c r="AF323" t="n">
        <v>4</v>
      </c>
      <c r="AG323" t="n">
        <v>4</v>
      </c>
      <c r="AH323" t="n">
        <v>4</v>
      </c>
      <c r="AI323" t="n">
        <v>4</v>
      </c>
      <c r="AJ323" t="n">
        <v>6</v>
      </c>
      <c r="AK323" t="n">
        <v>6</v>
      </c>
      <c r="AL323" t="n">
        <v>1</v>
      </c>
      <c r="AM323" t="n">
        <v>2</v>
      </c>
      <c r="AN323" t="n">
        <v>0</v>
      </c>
      <c r="AO323" t="n">
        <v>0</v>
      </c>
      <c r="AP323" t="inlineStr">
        <is>
          <t>No</t>
        </is>
      </c>
      <c r="AQ323" t="inlineStr">
        <is>
          <t>No</t>
        </is>
      </c>
      <c r="AS323">
        <f>HYPERLINK("https://creighton-primo.hosted.exlibrisgroup.com/primo-explore/search?tab=default_tab&amp;search_scope=EVERYTHING&amp;vid=01CRU&amp;lang=en_US&amp;offset=0&amp;query=any,contains,991000935289702656","Catalog Record")</f>
        <v/>
      </c>
      <c r="AT323">
        <f>HYPERLINK("http://www.worldcat.org/oclc/14358977","WorldCat Record")</f>
        <v/>
      </c>
      <c r="AU323" t="inlineStr">
        <is>
          <t>351971681:eng</t>
        </is>
      </c>
      <c r="AV323" t="inlineStr">
        <is>
          <t>14358977</t>
        </is>
      </c>
      <c r="AW323" t="inlineStr">
        <is>
          <t>991000935289702656</t>
        </is>
      </c>
      <c r="AX323" t="inlineStr">
        <is>
          <t>991000935289702656</t>
        </is>
      </c>
      <c r="AY323" t="inlineStr">
        <is>
          <t>2258593090002656</t>
        </is>
      </c>
      <c r="AZ323" t="inlineStr">
        <is>
          <t>BOOK</t>
        </is>
      </c>
      <c r="BB323" t="inlineStr">
        <is>
          <t>9780312003784</t>
        </is>
      </c>
      <c r="BC323" t="inlineStr">
        <is>
          <t>32285000600113</t>
        </is>
      </c>
      <c r="BD323" t="inlineStr">
        <is>
          <t>893333909</t>
        </is>
      </c>
    </row>
    <row r="324">
      <c r="A324" t="inlineStr">
        <is>
          <t>No</t>
        </is>
      </c>
      <c r="B324" t="inlineStr">
        <is>
          <t>BF311 .C59 1989</t>
        </is>
      </c>
      <c r="C324" t="inlineStr">
        <is>
          <t>0                      BF 0311000C  59          1989</t>
        </is>
      </c>
      <c r="D324" t="inlineStr">
        <is>
          <t>Computers, brains, and minds : essays in cognitive science / edited by Peter Slezak and W.R. Albury.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L324" t="inlineStr">
        <is>
          <t>Dordrecht ; Boston : Kluwer Academic Publishers, c1989.</t>
        </is>
      </c>
      <c r="M324" t="inlineStr">
        <is>
          <t>1989</t>
        </is>
      </c>
      <c r="O324" t="inlineStr">
        <is>
          <t>eng</t>
        </is>
      </c>
      <c r="P324" t="inlineStr">
        <is>
          <t xml:space="preserve">ne </t>
        </is>
      </c>
      <c r="Q324" t="inlineStr">
        <is>
          <t>Australasian studies in history and philosophy of science ; v. 7</t>
        </is>
      </c>
      <c r="R324" t="inlineStr">
        <is>
          <t xml:space="preserve">BF </t>
        </is>
      </c>
      <c r="S324" t="n">
        <v>2</v>
      </c>
      <c r="T324" t="n">
        <v>2</v>
      </c>
      <c r="U324" t="inlineStr">
        <is>
          <t>1996-11-13</t>
        </is>
      </c>
      <c r="V324" t="inlineStr">
        <is>
          <t>1996-11-13</t>
        </is>
      </c>
      <c r="W324" t="inlineStr">
        <is>
          <t>1990-07-11</t>
        </is>
      </c>
      <c r="X324" t="inlineStr">
        <is>
          <t>1990-07-11</t>
        </is>
      </c>
      <c r="Y324" t="n">
        <v>232</v>
      </c>
      <c r="Z324" t="n">
        <v>143</v>
      </c>
      <c r="AA324" t="n">
        <v>152</v>
      </c>
      <c r="AB324" t="n">
        <v>2</v>
      </c>
      <c r="AC324" t="n">
        <v>2</v>
      </c>
      <c r="AD324" t="n">
        <v>4</v>
      </c>
      <c r="AE324" t="n">
        <v>5</v>
      </c>
      <c r="AF324" t="n">
        <v>0</v>
      </c>
      <c r="AG324" t="n">
        <v>1</v>
      </c>
      <c r="AH324" t="n">
        <v>1</v>
      </c>
      <c r="AI324" t="n">
        <v>1</v>
      </c>
      <c r="AJ324" t="n">
        <v>3</v>
      </c>
      <c r="AK324" t="n">
        <v>4</v>
      </c>
      <c r="AL324" t="n">
        <v>1</v>
      </c>
      <c r="AM324" t="n">
        <v>1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HYPERLINK("http://catalog.hathitrust.org/Record/001841415","HathiTrust Record")</f>
        <v/>
      </c>
      <c r="AS324">
        <f>HYPERLINK("https://creighton-primo.hosted.exlibrisgroup.com/primo-explore/search?tab=default_tab&amp;search_scope=EVERYTHING&amp;vid=01CRU&amp;lang=en_US&amp;offset=0&amp;query=any,contains,991001281609702656","Catalog Record")</f>
        <v/>
      </c>
      <c r="AT324">
        <f>HYPERLINK("http://www.worldcat.org/oclc/17918394","WorldCat Record")</f>
        <v/>
      </c>
      <c r="AU324" t="inlineStr">
        <is>
          <t>808047694:eng</t>
        </is>
      </c>
      <c r="AV324" t="inlineStr">
        <is>
          <t>17918394</t>
        </is>
      </c>
      <c r="AW324" t="inlineStr">
        <is>
          <t>991001281609702656</t>
        </is>
      </c>
      <c r="AX324" t="inlineStr">
        <is>
          <t>991001281609702656</t>
        </is>
      </c>
      <c r="AY324" t="inlineStr">
        <is>
          <t>2270643910002656</t>
        </is>
      </c>
      <c r="AZ324" t="inlineStr">
        <is>
          <t>BOOK</t>
        </is>
      </c>
      <c r="BB324" t="inlineStr">
        <is>
          <t>9789027727596</t>
        </is>
      </c>
      <c r="BC324" t="inlineStr">
        <is>
          <t>32285000235803</t>
        </is>
      </c>
      <c r="BD324" t="inlineStr">
        <is>
          <t>893797457</t>
        </is>
      </c>
    </row>
    <row r="325">
      <c r="A325" t="inlineStr">
        <is>
          <t>No</t>
        </is>
      </c>
      <c r="B325" t="inlineStr">
        <is>
          <t>BF311 .C641</t>
        </is>
      </c>
      <c r="C325" t="inlineStr">
        <is>
          <t>0                      BF 0311000C  641</t>
        </is>
      </c>
      <c r="D325" t="inlineStr">
        <is>
          <t>Cognition and memory / edited by F. Klix and J. Hoffmann.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L325" t="inlineStr">
        <is>
          <t>Amsterdam ; New York : North-Holland Pub. Co. ; New York : Sole distributors for the U.S.A. and Canada, Elsevier North-Holland, 1980.</t>
        </is>
      </c>
      <c r="M325" t="inlineStr">
        <is>
          <t>1980</t>
        </is>
      </c>
      <c r="O325" t="inlineStr">
        <is>
          <t>eng</t>
        </is>
      </c>
      <c r="P325" t="inlineStr">
        <is>
          <t xml:space="preserve">ne </t>
        </is>
      </c>
      <c r="Q325" t="inlineStr">
        <is>
          <t>Advances in psychology (Amsterdam) ; 5</t>
        </is>
      </c>
      <c r="R325" t="inlineStr">
        <is>
          <t xml:space="preserve">BF </t>
        </is>
      </c>
      <c r="S325" t="n">
        <v>5</v>
      </c>
      <c r="T325" t="n">
        <v>5</v>
      </c>
      <c r="U325" t="inlineStr">
        <is>
          <t>1994-02-25</t>
        </is>
      </c>
      <c r="V325" t="inlineStr">
        <is>
          <t>1994-02-25</t>
        </is>
      </c>
      <c r="W325" t="inlineStr">
        <is>
          <t>1991-05-01</t>
        </is>
      </c>
      <c r="X325" t="inlineStr">
        <is>
          <t>1991-05-01</t>
        </is>
      </c>
      <c r="Y325" t="n">
        <v>289</v>
      </c>
      <c r="Z325" t="n">
        <v>167</v>
      </c>
      <c r="AA325" t="n">
        <v>216</v>
      </c>
      <c r="AB325" t="n">
        <v>2</v>
      </c>
      <c r="AC325" t="n">
        <v>3</v>
      </c>
      <c r="AD325" t="n">
        <v>5</v>
      </c>
      <c r="AE325" t="n">
        <v>8</v>
      </c>
      <c r="AF325" t="n">
        <v>0</v>
      </c>
      <c r="AG325" t="n">
        <v>1</v>
      </c>
      <c r="AH325" t="n">
        <v>2</v>
      </c>
      <c r="AI325" t="n">
        <v>3</v>
      </c>
      <c r="AJ325" t="n">
        <v>3</v>
      </c>
      <c r="AK325" t="n">
        <v>3</v>
      </c>
      <c r="AL325" t="n">
        <v>1</v>
      </c>
      <c r="AM325" t="n">
        <v>2</v>
      </c>
      <c r="AN325" t="n">
        <v>0</v>
      </c>
      <c r="AO325" t="n">
        <v>0</v>
      </c>
      <c r="AP325" t="inlineStr">
        <is>
          <t>No</t>
        </is>
      </c>
      <c r="AQ325" t="inlineStr">
        <is>
          <t>No</t>
        </is>
      </c>
      <c r="AS325">
        <f>HYPERLINK("https://creighton-primo.hosted.exlibrisgroup.com/primo-explore/search?tab=default_tab&amp;search_scope=EVERYTHING&amp;vid=01CRU&amp;lang=en_US&amp;offset=0&amp;query=any,contains,991005118589702656","Catalog Record")</f>
        <v/>
      </c>
      <c r="AT325">
        <f>HYPERLINK("http://www.worldcat.org/oclc/7469573","WorldCat Record")</f>
        <v/>
      </c>
      <c r="AU325" t="inlineStr">
        <is>
          <t>1011503953:eng</t>
        </is>
      </c>
      <c r="AV325" t="inlineStr">
        <is>
          <t>7469573</t>
        </is>
      </c>
      <c r="AW325" t="inlineStr">
        <is>
          <t>991005118589702656</t>
        </is>
      </c>
      <c r="AX325" t="inlineStr">
        <is>
          <t>991005118589702656</t>
        </is>
      </c>
      <c r="AY325" t="inlineStr">
        <is>
          <t>2260346530002656</t>
        </is>
      </c>
      <c r="AZ325" t="inlineStr">
        <is>
          <t>BOOK</t>
        </is>
      </c>
      <c r="BB325" t="inlineStr">
        <is>
          <t>9780444860415</t>
        </is>
      </c>
      <c r="BC325" t="inlineStr">
        <is>
          <t>32285000600154</t>
        </is>
      </c>
      <c r="BD325" t="inlineStr">
        <is>
          <t>893236310</t>
        </is>
      </c>
    </row>
    <row r="326">
      <c r="A326" t="inlineStr">
        <is>
          <t>No</t>
        </is>
      </c>
      <c r="B326" t="inlineStr">
        <is>
          <t>BF311 .C653 1988</t>
        </is>
      </c>
      <c r="C326" t="inlineStr">
        <is>
          <t>0                      BF 0311000C  653         1988</t>
        </is>
      </c>
      <c r="D326" t="inlineStr">
        <is>
          <t>Consciousness in contemporary science / edited by A.J. Marcel and E. Bisiach.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L326" t="inlineStr">
        <is>
          <t>Oxford : Clarendon Press ; New York : Oxford University Press, 1988.</t>
        </is>
      </c>
      <c r="M326" t="inlineStr">
        <is>
          <t>1988</t>
        </is>
      </c>
      <c r="O326" t="inlineStr">
        <is>
          <t>eng</t>
        </is>
      </c>
      <c r="P326" t="inlineStr">
        <is>
          <t>enk</t>
        </is>
      </c>
      <c r="R326" t="inlineStr">
        <is>
          <t xml:space="preserve">BF </t>
        </is>
      </c>
      <c r="S326" t="n">
        <v>3</v>
      </c>
      <c r="T326" t="n">
        <v>3</v>
      </c>
      <c r="U326" t="inlineStr">
        <is>
          <t>1999-04-09</t>
        </is>
      </c>
      <c r="V326" t="inlineStr">
        <is>
          <t>1999-04-09</t>
        </is>
      </c>
      <c r="W326" t="inlineStr">
        <is>
          <t>1991-02-22</t>
        </is>
      </c>
      <c r="X326" t="inlineStr">
        <is>
          <t>1991-02-22</t>
        </is>
      </c>
      <c r="Y326" t="n">
        <v>349</v>
      </c>
      <c r="Z326" t="n">
        <v>237</v>
      </c>
      <c r="AA326" t="n">
        <v>311</v>
      </c>
      <c r="AB326" t="n">
        <v>2</v>
      </c>
      <c r="AC326" t="n">
        <v>2</v>
      </c>
      <c r="AD326" t="n">
        <v>14</v>
      </c>
      <c r="AE326" t="n">
        <v>16</v>
      </c>
      <c r="AF326" t="n">
        <v>4</v>
      </c>
      <c r="AG326" t="n">
        <v>5</v>
      </c>
      <c r="AH326" t="n">
        <v>6</v>
      </c>
      <c r="AI326" t="n">
        <v>7</v>
      </c>
      <c r="AJ326" t="n">
        <v>7</v>
      </c>
      <c r="AK326" t="n">
        <v>8</v>
      </c>
      <c r="AL326" t="n">
        <v>1</v>
      </c>
      <c r="AM326" t="n">
        <v>1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HYPERLINK("http://catalog.hathitrust.org/Record/004514347","HathiTrust Record")</f>
        <v/>
      </c>
      <c r="AS326">
        <f>HYPERLINK("https://creighton-primo.hosted.exlibrisgroup.com/primo-explore/search?tab=default_tab&amp;search_scope=EVERYTHING&amp;vid=01CRU&amp;lang=en_US&amp;offset=0&amp;query=any,contains,991001232899702656","Catalog Record")</f>
        <v/>
      </c>
      <c r="AT326">
        <f>HYPERLINK("http://www.worldcat.org/oclc/17548679","WorldCat Record")</f>
        <v/>
      </c>
      <c r="AU326" t="inlineStr">
        <is>
          <t>286472757:eng</t>
        </is>
      </c>
      <c r="AV326" t="inlineStr">
        <is>
          <t>17548679</t>
        </is>
      </c>
      <c r="AW326" t="inlineStr">
        <is>
          <t>991001232899702656</t>
        </is>
      </c>
      <c r="AX326" t="inlineStr">
        <is>
          <t>991001232899702656</t>
        </is>
      </c>
      <c r="AY326" t="inlineStr">
        <is>
          <t>2269264550002656</t>
        </is>
      </c>
      <c r="AZ326" t="inlineStr">
        <is>
          <t>BOOK</t>
        </is>
      </c>
      <c r="BB326" t="inlineStr">
        <is>
          <t>9780198521686</t>
        </is>
      </c>
      <c r="BC326" t="inlineStr">
        <is>
          <t>32285000492891</t>
        </is>
      </c>
      <c r="BD326" t="inlineStr">
        <is>
          <t>893321761</t>
        </is>
      </c>
    </row>
    <row r="327">
      <c r="A327" t="inlineStr">
        <is>
          <t>No</t>
        </is>
      </c>
      <c r="B327" t="inlineStr">
        <is>
          <t>BF311 .C674 1983</t>
        </is>
      </c>
      <c r="C327" t="inlineStr">
        <is>
          <t>0                      BF 0311000C  674         1983</t>
        </is>
      </c>
      <c r="D327" t="inlineStr">
        <is>
          <t>The ambivalent mind : the neuropsychology of left and right / Michael C. Corballis and Ivan L. Beale.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Corballis, Michael C.</t>
        </is>
      </c>
      <c r="L327" t="inlineStr">
        <is>
          <t>Chicago : Nelson-Hall, c1983, 1984 printing.</t>
        </is>
      </c>
      <c r="M327" t="inlineStr">
        <is>
          <t>1983</t>
        </is>
      </c>
      <c r="O327" t="inlineStr">
        <is>
          <t>eng</t>
        </is>
      </c>
      <c r="P327" t="inlineStr">
        <is>
          <t>ilu</t>
        </is>
      </c>
      <c r="R327" t="inlineStr">
        <is>
          <t xml:space="preserve">BF </t>
        </is>
      </c>
      <c r="S327" t="n">
        <v>3</v>
      </c>
      <c r="T327" t="n">
        <v>3</v>
      </c>
      <c r="U327" t="inlineStr">
        <is>
          <t>1996-11-02</t>
        </is>
      </c>
      <c r="V327" t="inlineStr">
        <is>
          <t>1996-11-02</t>
        </is>
      </c>
      <c r="W327" t="inlineStr">
        <is>
          <t>1991-05-01</t>
        </is>
      </c>
      <c r="X327" t="inlineStr">
        <is>
          <t>1991-05-01</t>
        </is>
      </c>
      <c r="Y327" t="n">
        <v>544</v>
      </c>
      <c r="Z327" t="n">
        <v>468</v>
      </c>
      <c r="AA327" t="n">
        <v>476</v>
      </c>
      <c r="AB327" t="n">
        <v>6</v>
      </c>
      <c r="AC327" t="n">
        <v>6</v>
      </c>
      <c r="AD327" t="n">
        <v>17</v>
      </c>
      <c r="AE327" t="n">
        <v>17</v>
      </c>
      <c r="AF327" t="n">
        <v>4</v>
      </c>
      <c r="AG327" t="n">
        <v>4</v>
      </c>
      <c r="AH327" t="n">
        <v>4</v>
      </c>
      <c r="AI327" t="n">
        <v>4</v>
      </c>
      <c r="AJ327" t="n">
        <v>8</v>
      </c>
      <c r="AK327" t="n">
        <v>8</v>
      </c>
      <c r="AL327" t="n">
        <v>5</v>
      </c>
      <c r="AM327" t="n">
        <v>5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HYPERLINK("http://catalog.hathitrust.org/Record/000114024","HathiTrust Record")</f>
        <v/>
      </c>
      <c r="AS327">
        <f>HYPERLINK("https://creighton-primo.hosted.exlibrisgroup.com/primo-explore/search?tab=default_tab&amp;search_scope=EVERYTHING&amp;vid=01CRU&amp;lang=en_US&amp;offset=0&amp;query=any,contains,991000172969702656","Catalog Record")</f>
        <v/>
      </c>
      <c r="AT327">
        <f>HYPERLINK("http://www.worldcat.org/oclc/9325090","WorldCat Record")</f>
        <v/>
      </c>
      <c r="AU327" t="inlineStr">
        <is>
          <t>73231:eng</t>
        </is>
      </c>
      <c r="AV327" t="inlineStr">
        <is>
          <t>9325090</t>
        </is>
      </c>
      <c r="AW327" t="inlineStr">
        <is>
          <t>991000172969702656</t>
        </is>
      </c>
      <c r="AX327" t="inlineStr">
        <is>
          <t>991000172969702656</t>
        </is>
      </c>
      <c r="AY327" t="inlineStr">
        <is>
          <t>2269960120002656</t>
        </is>
      </c>
      <c r="AZ327" t="inlineStr">
        <is>
          <t>BOOK</t>
        </is>
      </c>
      <c r="BB327" t="inlineStr">
        <is>
          <t>9780882294759</t>
        </is>
      </c>
      <c r="BC327" t="inlineStr">
        <is>
          <t>32285000600170</t>
        </is>
      </c>
      <c r="BD327" t="inlineStr">
        <is>
          <t>893714387</t>
        </is>
      </c>
    </row>
    <row r="328">
      <c r="A328" t="inlineStr">
        <is>
          <t>No</t>
        </is>
      </c>
      <c r="B328" t="inlineStr">
        <is>
          <t>BF311 .C676</t>
        </is>
      </c>
      <c r="C328" t="inlineStr">
        <is>
          <t>0                      BF 0311000C  676</t>
        </is>
      </c>
      <c r="D328" t="inlineStr">
        <is>
          <t>The psychology of left and right / Michael C. Corballis, Ivan L. Beale.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Corballis, Michael C.</t>
        </is>
      </c>
      <c r="L328" t="inlineStr">
        <is>
          <t>Hillsdale, N.J. : Lawrence Erlbaum Associates ; New York : distributed by the Halsted Press Division of John Wiley &amp; Sons, 1976.</t>
        </is>
      </c>
      <c r="M328" t="inlineStr">
        <is>
          <t>1976</t>
        </is>
      </c>
      <c r="O328" t="inlineStr">
        <is>
          <t>eng</t>
        </is>
      </c>
      <c r="P328" t="inlineStr">
        <is>
          <t>nju</t>
        </is>
      </c>
      <c r="R328" t="inlineStr">
        <is>
          <t xml:space="preserve">BF </t>
        </is>
      </c>
      <c r="S328" t="n">
        <v>3</v>
      </c>
      <c r="T328" t="n">
        <v>3</v>
      </c>
      <c r="U328" t="inlineStr">
        <is>
          <t>1995-11-24</t>
        </is>
      </c>
      <c r="V328" t="inlineStr">
        <is>
          <t>1995-11-24</t>
        </is>
      </c>
      <c r="W328" t="inlineStr">
        <is>
          <t>1991-02-04</t>
        </is>
      </c>
      <c r="X328" t="inlineStr">
        <is>
          <t>1991-02-04</t>
        </is>
      </c>
      <c r="Y328" t="n">
        <v>833</v>
      </c>
      <c r="Z328" t="n">
        <v>668</v>
      </c>
      <c r="AA328" t="n">
        <v>685</v>
      </c>
      <c r="AB328" t="n">
        <v>3</v>
      </c>
      <c r="AC328" t="n">
        <v>3</v>
      </c>
      <c r="AD328" t="n">
        <v>31</v>
      </c>
      <c r="AE328" t="n">
        <v>31</v>
      </c>
      <c r="AF328" t="n">
        <v>15</v>
      </c>
      <c r="AG328" t="n">
        <v>15</v>
      </c>
      <c r="AH328" t="n">
        <v>9</v>
      </c>
      <c r="AI328" t="n">
        <v>9</v>
      </c>
      <c r="AJ328" t="n">
        <v>13</v>
      </c>
      <c r="AK328" t="n">
        <v>13</v>
      </c>
      <c r="AL328" t="n">
        <v>2</v>
      </c>
      <c r="AM328" t="n">
        <v>2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HYPERLINK("http://catalog.hathitrust.org/Record/000702198","HathiTrust Record")</f>
        <v/>
      </c>
      <c r="AS328">
        <f>HYPERLINK("https://creighton-primo.hosted.exlibrisgroup.com/primo-explore/search?tab=default_tab&amp;search_scope=EVERYTHING&amp;vid=01CRU&amp;lang=en_US&amp;offset=0&amp;query=any,contains,991004041609702656","Catalog Record")</f>
        <v/>
      </c>
      <c r="AT328">
        <f>HYPERLINK("http://www.worldcat.org/oclc/2189030","WorldCat Record")</f>
        <v/>
      </c>
      <c r="AU328" t="inlineStr">
        <is>
          <t>554417:eng</t>
        </is>
      </c>
      <c r="AV328" t="inlineStr">
        <is>
          <t>2189030</t>
        </is>
      </c>
      <c r="AW328" t="inlineStr">
        <is>
          <t>991004041609702656</t>
        </is>
      </c>
      <c r="AX328" t="inlineStr">
        <is>
          <t>991004041609702656</t>
        </is>
      </c>
      <c r="AY328" t="inlineStr">
        <is>
          <t>2265192010002656</t>
        </is>
      </c>
      <c r="AZ328" t="inlineStr">
        <is>
          <t>BOOK</t>
        </is>
      </c>
      <c r="BB328" t="inlineStr">
        <is>
          <t>9780470151044</t>
        </is>
      </c>
      <c r="BC328" t="inlineStr">
        <is>
          <t>32285000470897</t>
        </is>
      </c>
      <c r="BD328" t="inlineStr">
        <is>
          <t>893687279</t>
        </is>
      </c>
    </row>
    <row r="329">
      <c r="A329" t="inlineStr">
        <is>
          <t>No</t>
        </is>
      </c>
      <c r="B329" t="inlineStr">
        <is>
          <t>BF311 .C7 1983</t>
        </is>
      </c>
      <c r="C329" t="inlineStr">
        <is>
          <t>0                      BF 0311000C  7           1983</t>
        </is>
      </c>
      <c r="D329" t="inlineStr">
        <is>
          <t>Rethinking cognitive theory / Jeff Coulter.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Coulter, Jeff.</t>
        </is>
      </c>
      <c r="L329" t="inlineStr">
        <is>
          <t>New York : St. Martin's Press, 1983.</t>
        </is>
      </c>
      <c r="M329" t="inlineStr">
        <is>
          <t>1983</t>
        </is>
      </c>
      <c r="O329" t="inlineStr">
        <is>
          <t>eng</t>
        </is>
      </c>
      <c r="P329" t="inlineStr">
        <is>
          <t>nyu</t>
        </is>
      </c>
      <c r="R329" t="inlineStr">
        <is>
          <t xml:space="preserve">BF </t>
        </is>
      </c>
      <c r="S329" t="n">
        <v>1</v>
      </c>
      <c r="T329" t="n">
        <v>1</v>
      </c>
      <c r="U329" t="inlineStr">
        <is>
          <t>1995-12-03</t>
        </is>
      </c>
      <c r="V329" t="inlineStr">
        <is>
          <t>1995-12-03</t>
        </is>
      </c>
      <c r="W329" t="inlineStr">
        <is>
          <t>1991-05-01</t>
        </is>
      </c>
      <c r="X329" t="inlineStr">
        <is>
          <t>1991-05-01</t>
        </is>
      </c>
      <c r="Y329" t="n">
        <v>294</v>
      </c>
      <c r="Z329" t="n">
        <v>261</v>
      </c>
      <c r="AA329" t="n">
        <v>307</v>
      </c>
      <c r="AB329" t="n">
        <v>5</v>
      </c>
      <c r="AC329" t="n">
        <v>5</v>
      </c>
      <c r="AD329" t="n">
        <v>19</v>
      </c>
      <c r="AE329" t="n">
        <v>19</v>
      </c>
      <c r="AF329" t="n">
        <v>4</v>
      </c>
      <c r="AG329" t="n">
        <v>4</v>
      </c>
      <c r="AH329" t="n">
        <v>6</v>
      </c>
      <c r="AI329" t="n">
        <v>6</v>
      </c>
      <c r="AJ329" t="n">
        <v>10</v>
      </c>
      <c r="AK329" t="n">
        <v>10</v>
      </c>
      <c r="AL329" t="n">
        <v>4</v>
      </c>
      <c r="AM329" t="n">
        <v>4</v>
      </c>
      <c r="AN329" t="n">
        <v>0</v>
      </c>
      <c r="AO329" t="n">
        <v>0</v>
      </c>
      <c r="AP329" t="inlineStr">
        <is>
          <t>No</t>
        </is>
      </c>
      <c r="AQ329" t="inlineStr">
        <is>
          <t>No</t>
        </is>
      </c>
      <c r="AS329">
        <f>HYPERLINK("https://creighton-primo.hosted.exlibrisgroup.com/primo-explore/search?tab=default_tab&amp;search_scope=EVERYTHING&amp;vid=01CRU&amp;lang=en_US&amp;offset=0&amp;query=any,contains,991000219799702656","Catalog Record")</f>
        <v/>
      </c>
      <c r="AT329">
        <f>HYPERLINK("http://www.worldcat.org/oclc/9575662","WorldCat Record")</f>
        <v/>
      </c>
      <c r="AU329" t="inlineStr">
        <is>
          <t>3521267:eng</t>
        </is>
      </c>
      <c r="AV329" t="inlineStr">
        <is>
          <t>9575662</t>
        </is>
      </c>
      <c r="AW329" t="inlineStr">
        <is>
          <t>991000219799702656</t>
        </is>
      </c>
      <c r="AX329" t="inlineStr">
        <is>
          <t>991000219799702656</t>
        </is>
      </c>
      <c r="AY329" t="inlineStr">
        <is>
          <t>2266995660002656</t>
        </is>
      </c>
      <c r="AZ329" t="inlineStr">
        <is>
          <t>BOOK</t>
        </is>
      </c>
      <c r="BB329" t="inlineStr">
        <is>
          <t>9780312678005</t>
        </is>
      </c>
      <c r="BC329" t="inlineStr">
        <is>
          <t>32285000600188</t>
        </is>
      </c>
      <c r="BD329" t="inlineStr">
        <is>
          <t>893255275</t>
        </is>
      </c>
    </row>
    <row r="330">
      <c r="A330" t="inlineStr">
        <is>
          <t>No</t>
        </is>
      </c>
      <c r="B330" t="inlineStr">
        <is>
          <t>BF311 .C74 1982</t>
        </is>
      </c>
      <c r="C330" t="inlineStr">
        <is>
          <t>0                      BF 0311000C  74          1982</t>
        </is>
      </c>
      <c r="D330" t="inlineStr">
        <is>
          <t>Culture, consciousness, and beyond : an introduction / Russell Crescimanno.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Crescimanno, Russell.</t>
        </is>
      </c>
      <c r="L330" t="inlineStr">
        <is>
          <t>Washigton, D.C. : University Press of America, c1982.</t>
        </is>
      </c>
      <c r="M330" t="inlineStr">
        <is>
          <t>1982</t>
        </is>
      </c>
      <c r="O330" t="inlineStr">
        <is>
          <t>eng</t>
        </is>
      </c>
      <c r="P330" t="inlineStr">
        <is>
          <t>dcu</t>
        </is>
      </c>
      <c r="R330" t="inlineStr">
        <is>
          <t xml:space="preserve">BF </t>
        </is>
      </c>
      <c r="S330" t="n">
        <v>5</v>
      </c>
      <c r="T330" t="n">
        <v>5</v>
      </c>
      <c r="U330" t="inlineStr">
        <is>
          <t>1998-10-04</t>
        </is>
      </c>
      <c r="V330" t="inlineStr">
        <is>
          <t>1998-10-04</t>
        </is>
      </c>
      <c r="W330" t="inlineStr">
        <is>
          <t>1991-05-01</t>
        </is>
      </c>
      <c r="X330" t="inlineStr">
        <is>
          <t>1991-05-01</t>
        </is>
      </c>
      <c r="Y330" t="n">
        <v>297</v>
      </c>
      <c r="Z330" t="n">
        <v>268</v>
      </c>
      <c r="AA330" t="n">
        <v>270</v>
      </c>
      <c r="AB330" t="n">
        <v>2</v>
      </c>
      <c r="AC330" t="n">
        <v>2</v>
      </c>
      <c r="AD330" t="n">
        <v>8</v>
      </c>
      <c r="AE330" t="n">
        <v>8</v>
      </c>
      <c r="AF330" t="n">
        <v>5</v>
      </c>
      <c r="AG330" t="n">
        <v>5</v>
      </c>
      <c r="AH330" t="n">
        <v>1</v>
      </c>
      <c r="AI330" t="n">
        <v>1</v>
      </c>
      <c r="AJ330" t="n">
        <v>4</v>
      </c>
      <c r="AK330" t="n">
        <v>4</v>
      </c>
      <c r="AL330" t="n">
        <v>1</v>
      </c>
      <c r="AM330" t="n">
        <v>1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HYPERLINK("http://catalog.hathitrust.org/Record/000537525","HathiTrust Record")</f>
        <v/>
      </c>
      <c r="AS330">
        <f>HYPERLINK("https://creighton-primo.hosted.exlibrisgroup.com/primo-explore/search?tab=default_tab&amp;search_scope=EVERYTHING&amp;vid=01CRU&amp;lang=en_US&amp;offset=0&amp;query=any,contains,991000079379702656","Catalog Record")</f>
        <v/>
      </c>
      <c r="AT330">
        <f>HYPERLINK("http://www.worldcat.org/oclc/8826701","WorldCat Record")</f>
        <v/>
      </c>
      <c r="AU330" t="inlineStr">
        <is>
          <t>196179083:eng</t>
        </is>
      </c>
      <c r="AV330" t="inlineStr">
        <is>
          <t>8826701</t>
        </is>
      </c>
      <c r="AW330" t="inlineStr">
        <is>
          <t>991000079379702656</t>
        </is>
      </c>
      <c r="AX330" t="inlineStr">
        <is>
          <t>991000079379702656</t>
        </is>
      </c>
      <c r="AY330" t="inlineStr">
        <is>
          <t>2265236910002656</t>
        </is>
      </c>
      <c r="AZ330" t="inlineStr">
        <is>
          <t>BOOK</t>
        </is>
      </c>
      <c r="BB330" t="inlineStr">
        <is>
          <t>9780819128126</t>
        </is>
      </c>
      <c r="BC330" t="inlineStr">
        <is>
          <t>32285000600196</t>
        </is>
      </c>
      <c r="BD330" t="inlineStr">
        <is>
          <t>893242961</t>
        </is>
      </c>
    </row>
    <row r="331">
      <c r="A331" t="inlineStr">
        <is>
          <t>No</t>
        </is>
      </c>
      <c r="B331" t="inlineStr">
        <is>
          <t>BF311 .D7613</t>
        </is>
      </c>
      <c r="C331" t="inlineStr">
        <is>
          <t>0                      BF 0311000D  7613</t>
        </is>
      </c>
      <c r="D331" t="inlineStr">
        <is>
          <t>Understanding Piaget / R. Droz and M. Rahmy ; translated by Joyce Diamanti.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Droz, Remy.</t>
        </is>
      </c>
      <c r="L331" t="inlineStr">
        <is>
          <t>New York : International Universities Press, c1976.</t>
        </is>
      </c>
      <c r="M331" t="inlineStr">
        <is>
          <t>1976</t>
        </is>
      </c>
      <c r="O331" t="inlineStr">
        <is>
          <t>eng</t>
        </is>
      </c>
      <c r="P331" t="inlineStr">
        <is>
          <t>nyu</t>
        </is>
      </c>
      <c r="R331" t="inlineStr">
        <is>
          <t xml:space="preserve">BF </t>
        </is>
      </c>
      <c r="S331" t="n">
        <v>2</v>
      </c>
      <c r="T331" t="n">
        <v>2</v>
      </c>
      <c r="U331" t="inlineStr">
        <is>
          <t>1995-10-09</t>
        </is>
      </c>
      <c r="V331" t="inlineStr">
        <is>
          <t>1995-10-09</t>
        </is>
      </c>
      <c r="W331" t="inlineStr">
        <is>
          <t>1991-02-04</t>
        </is>
      </c>
      <c r="X331" t="inlineStr">
        <is>
          <t>1991-02-04</t>
        </is>
      </c>
      <c r="Y331" t="n">
        <v>555</v>
      </c>
      <c r="Z331" t="n">
        <v>474</v>
      </c>
      <c r="AA331" t="n">
        <v>483</v>
      </c>
      <c r="AB331" t="n">
        <v>4</v>
      </c>
      <c r="AC331" t="n">
        <v>4</v>
      </c>
      <c r="AD331" t="n">
        <v>20</v>
      </c>
      <c r="AE331" t="n">
        <v>20</v>
      </c>
      <c r="AF331" t="n">
        <v>7</v>
      </c>
      <c r="AG331" t="n">
        <v>7</v>
      </c>
      <c r="AH331" t="n">
        <v>6</v>
      </c>
      <c r="AI331" t="n">
        <v>6</v>
      </c>
      <c r="AJ331" t="n">
        <v>9</v>
      </c>
      <c r="AK331" t="n">
        <v>9</v>
      </c>
      <c r="AL331" t="n">
        <v>3</v>
      </c>
      <c r="AM331" t="n">
        <v>3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HYPERLINK("http://catalog.hathitrust.org/Record/000716739","HathiTrust Record")</f>
        <v/>
      </c>
      <c r="AS331">
        <f>HYPERLINK("https://creighton-primo.hosted.exlibrisgroup.com/primo-explore/search?tab=default_tab&amp;search_scope=EVERYTHING&amp;vid=01CRU&amp;lang=en_US&amp;offset=0&amp;query=any,contains,991003960579702656","Catalog Record")</f>
        <v/>
      </c>
      <c r="AT331">
        <f>HYPERLINK("http://www.worldcat.org/oclc/1975019","WorldCat Record")</f>
        <v/>
      </c>
      <c r="AU331" t="inlineStr">
        <is>
          <t>4020187976:eng</t>
        </is>
      </c>
      <c r="AV331" t="inlineStr">
        <is>
          <t>1975019</t>
        </is>
      </c>
      <c r="AW331" t="inlineStr">
        <is>
          <t>991003960579702656</t>
        </is>
      </c>
      <c r="AX331" t="inlineStr">
        <is>
          <t>991003960579702656</t>
        </is>
      </c>
      <c r="AY331" t="inlineStr">
        <is>
          <t>2262648110002656</t>
        </is>
      </c>
      <c r="AZ331" t="inlineStr">
        <is>
          <t>BOOK</t>
        </is>
      </c>
      <c r="BB331" t="inlineStr">
        <is>
          <t>9780823666904</t>
        </is>
      </c>
      <c r="BC331" t="inlineStr">
        <is>
          <t>32285000470905</t>
        </is>
      </c>
      <c r="BD331" t="inlineStr">
        <is>
          <t>893904642</t>
        </is>
      </c>
    </row>
    <row r="332">
      <c r="A332" t="inlineStr">
        <is>
          <t>No</t>
        </is>
      </c>
      <c r="B332" t="inlineStr">
        <is>
          <t>BF311 .D82 1988</t>
        </is>
      </c>
      <c r="C332" t="inlineStr">
        <is>
          <t>0                      BF 0311000D  82          1988</t>
        </is>
      </c>
      <c r="D332" t="inlineStr">
        <is>
          <t>A Dual process model of impression formation / edited by Thomas K. Srull, Robert S. Wyer, Jr.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L332" t="inlineStr">
        <is>
          <t>Hillsdale, N.J. : L. Erlbaum Associates, 1988.</t>
        </is>
      </c>
      <c r="M332" t="inlineStr">
        <is>
          <t>1988</t>
        </is>
      </c>
      <c r="O332" t="inlineStr">
        <is>
          <t>eng</t>
        </is>
      </c>
      <c r="P332" t="inlineStr">
        <is>
          <t>nju</t>
        </is>
      </c>
      <c r="Q332" t="inlineStr">
        <is>
          <t>Advances in social cognition ; v. 1</t>
        </is>
      </c>
      <c r="R332" t="inlineStr">
        <is>
          <t xml:space="preserve">BF </t>
        </is>
      </c>
      <c r="S332" t="n">
        <v>4</v>
      </c>
      <c r="T332" t="n">
        <v>4</v>
      </c>
      <c r="U332" t="inlineStr">
        <is>
          <t>1995-12-02</t>
        </is>
      </c>
      <c r="V332" t="inlineStr">
        <is>
          <t>1995-12-02</t>
        </is>
      </c>
      <c r="W332" t="inlineStr">
        <is>
          <t>1991-05-31</t>
        </is>
      </c>
      <c r="X332" t="inlineStr">
        <is>
          <t>1991-05-31</t>
        </is>
      </c>
      <c r="Y332" t="n">
        <v>195</v>
      </c>
      <c r="Z332" t="n">
        <v>156</v>
      </c>
      <c r="AA332" t="n">
        <v>173</v>
      </c>
      <c r="AB332" t="n">
        <v>2</v>
      </c>
      <c r="AC332" t="n">
        <v>2</v>
      </c>
      <c r="AD332" t="n">
        <v>13</v>
      </c>
      <c r="AE332" t="n">
        <v>13</v>
      </c>
      <c r="AF332" t="n">
        <v>6</v>
      </c>
      <c r="AG332" t="n">
        <v>6</v>
      </c>
      <c r="AH332" t="n">
        <v>1</v>
      </c>
      <c r="AI332" t="n">
        <v>1</v>
      </c>
      <c r="AJ332" t="n">
        <v>8</v>
      </c>
      <c r="AK332" t="n">
        <v>8</v>
      </c>
      <c r="AL332" t="n">
        <v>1</v>
      </c>
      <c r="AM332" t="n">
        <v>1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HYPERLINK("http://catalog.hathitrust.org/Record/007138863","HathiTrust Record")</f>
        <v/>
      </c>
      <c r="AS332">
        <f>HYPERLINK("https://creighton-primo.hosted.exlibrisgroup.com/primo-explore/search?tab=default_tab&amp;search_scope=EVERYTHING&amp;vid=01CRU&amp;lang=en_US&amp;offset=0&amp;query=any,contains,991001390789702656","Catalog Record")</f>
        <v/>
      </c>
      <c r="AT332">
        <f>HYPERLINK("http://www.worldcat.org/oclc/18756610","WorldCat Record")</f>
        <v/>
      </c>
      <c r="AU332" t="inlineStr">
        <is>
          <t>617311098:eng</t>
        </is>
      </c>
      <c r="AV332" t="inlineStr">
        <is>
          <t>18756610</t>
        </is>
      </c>
      <c r="AW332" t="inlineStr">
        <is>
          <t>991001390789702656</t>
        </is>
      </c>
      <c r="AX332" t="inlineStr">
        <is>
          <t>991001390789702656</t>
        </is>
      </c>
      <c r="AY332" t="inlineStr">
        <is>
          <t>2271873980002656</t>
        </is>
      </c>
      <c r="AZ332" t="inlineStr">
        <is>
          <t>BOOK</t>
        </is>
      </c>
      <c r="BB332" t="inlineStr">
        <is>
          <t>9780898598889</t>
        </is>
      </c>
      <c r="BC332" t="inlineStr">
        <is>
          <t>32285000590991</t>
        </is>
      </c>
      <c r="BD332" t="inlineStr">
        <is>
          <t>893321892</t>
        </is>
      </c>
    </row>
    <row r="333">
      <c r="A333" t="inlineStr">
        <is>
          <t>No</t>
        </is>
      </c>
      <c r="B333" t="inlineStr">
        <is>
          <t>BF311 .E48</t>
        </is>
      </c>
      <c r="C333" t="inlineStr">
        <is>
          <t>0                      BF 0311000E  48</t>
        </is>
      </c>
      <c r="D333" t="inlineStr">
        <is>
          <t>Human development and cognitive processes.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Eliot, John, 1933- compiler.</t>
        </is>
      </c>
      <c r="L333" t="inlineStr">
        <is>
          <t>New York, Holt, Rinehart and Winston [1970, c1971]</t>
        </is>
      </c>
      <c r="M333" t="inlineStr">
        <is>
          <t>1970</t>
        </is>
      </c>
      <c r="O333" t="inlineStr">
        <is>
          <t>eng</t>
        </is>
      </c>
      <c r="P333" t="inlineStr">
        <is>
          <t>nyu</t>
        </is>
      </c>
      <c r="R333" t="inlineStr">
        <is>
          <t xml:space="preserve">BF </t>
        </is>
      </c>
      <c r="S333" t="n">
        <v>3</v>
      </c>
      <c r="T333" t="n">
        <v>3</v>
      </c>
      <c r="U333" t="inlineStr">
        <is>
          <t>2007-02-25</t>
        </is>
      </c>
      <c r="V333" t="inlineStr">
        <is>
          <t>2007-02-25</t>
        </is>
      </c>
      <c r="W333" t="inlineStr">
        <is>
          <t>1996-07-26</t>
        </is>
      </c>
      <c r="X333" t="inlineStr">
        <is>
          <t>1996-07-26</t>
        </is>
      </c>
      <c r="Y333" t="n">
        <v>499</v>
      </c>
      <c r="Z333" t="n">
        <v>382</v>
      </c>
      <c r="AA333" t="n">
        <v>401</v>
      </c>
      <c r="AB333" t="n">
        <v>3</v>
      </c>
      <c r="AC333" t="n">
        <v>3</v>
      </c>
      <c r="AD333" t="n">
        <v>14</v>
      </c>
      <c r="AE333" t="n">
        <v>15</v>
      </c>
      <c r="AF333" t="n">
        <v>3</v>
      </c>
      <c r="AG333" t="n">
        <v>3</v>
      </c>
      <c r="AH333" t="n">
        <v>4</v>
      </c>
      <c r="AI333" t="n">
        <v>4</v>
      </c>
      <c r="AJ333" t="n">
        <v>9</v>
      </c>
      <c r="AK333" t="n">
        <v>10</v>
      </c>
      <c r="AL333" t="n">
        <v>1</v>
      </c>
      <c r="AM333" t="n">
        <v>1</v>
      </c>
      <c r="AN333" t="n">
        <v>0</v>
      </c>
      <c r="AO333" t="n">
        <v>0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HYPERLINK("http://catalog.hathitrust.org/Record/000354539","HathiTrust Record")</f>
        <v/>
      </c>
      <c r="AS333">
        <f>HYPERLINK("https://creighton-primo.hosted.exlibrisgroup.com/primo-explore/search?tab=default_tab&amp;search_scope=EVERYTHING&amp;vid=01CRU&amp;lang=en_US&amp;offset=0&amp;query=any,contains,991000655589702656","Catalog Record")</f>
        <v/>
      </c>
      <c r="AT333">
        <f>HYPERLINK("http://www.worldcat.org/oclc/115098","WorldCat Record")</f>
        <v/>
      </c>
      <c r="AU333" t="inlineStr">
        <is>
          <t>1231809:eng</t>
        </is>
      </c>
      <c r="AV333" t="inlineStr">
        <is>
          <t>115098</t>
        </is>
      </c>
      <c r="AW333" t="inlineStr">
        <is>
          <t>991000655589702656</t>
        </is>
      </c>
      <c r="AX333" t="inlineStr">
        <is>
          <t>991000655589702656</t>
        </is>
      </c>
      <c r="AY333" t="inlineStr">
        <is>
          <t>2260033040002656</t>
        </is>
      </c>
      <c r="AZ333" t="inlineStr">
        <is>
          <t>BOOK</t>
        </is>
      </c>
      <c r="BB333" t="inlineStr">
        <is>
          <t>9780030773754</t>
        </is>
      </c>
      <c r="BC333" t="inlineStr">
        <is>
          <t>32285002237815</t>
        </is>
      </c>
      <c r="BD333" t="inlineStr">
        <is>
          <t>893714789</t>
        </is>
      </c>
    </row>
    <row r="334">
      <c r="A334" t="inlineStr">
        <is>
          <t>No</t>
        </is>
      </c>
      <c r="B334" t="inlineStr">
        <is>
          <t>BF311 .F43 1968</t>
        </is>
      </c>
      <c r="C334" t="inlineStr">
        <is>
          <t>0                      BF 0311000F  43          1968</t>
        </is>
      </c>
      <c r="D334" t="inlineStr">
        <is>
          <t>The discrimination process and development, by Brian J. Fellows.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Fellows, Brian J.</t>
        </is>
      </c>
      <c r="L334" t="inlineStr">
        <is>
          <t>Oxford, New York, Pergamon Press [1968]</t>
        </is>
      </c>
      <c r="M334" t="inlineStr">
        <is>
          <t>1968</t>
        </is>
      </c>
      <c r="N334" t="inlineStr">
        <is>
          <t>[1st ed.]</t>
        </is>
      </c>
      <c r="O334" t="inlineStr">
        <is>
          <t>eng</t>
        </is>
      </c>
      <c r="P334" t="inlineStr">
        <is>
          <t>enk</t>
        </is>
      </c>
      <c r="Q334" t="inlineStr">
        <is>
          <t>International series of monographs in experimental psychology, v. 5</t>
        </is>
      </c>
      <c r="R334" t="inlineStr">
        <is>
          <t xml:space="preserve">BF </t>
        </is>
      </c>
      <c r="S334" t="n">
        <v>2</v>
      </c>
      <c r="T334" t="n">
        <v>2</v>
      </c>
      <c r="U334" t="inlineStr">
        <is>
          <t>2003-03-15</t>
        </is>
      </c>
      <c r="V334" t="inlineStr">
        <is>
          <t>2003-03-15</t>
        </is>
      </c>
      <c r="W334" t="inlineStr">
        <is>
          <t>1991-05-01</t>
        </is>
      </c>
      <c r="X334" t="inlineStr">
        <is>
          <t>1991-05-01</t>
        </is>
      </c>
      <c r="Y334" t="n">
        <v>459</v>
      </c>
      <c r="Z334" t="n">
        <v>347</v>
      </c>
      <c r="AA334" t="n">
        <v>373</v>
      </c>
      <c r="AB334" t="n">
        <v>5</v>
      </c>
      <c r="AC334" t="n">
        <v>5</v>
      </c>
      <c r="AD334" t="n">
        <v>19</v>
      </c>
      <c r="AE334" t="n">
        <v>21</v>
      </c>
      <c r="AF334" t="n">
        <v>5</v>
      </c>
      <c r="AG334" t="n">
        <v>6</v>
      </c>
      <c r="AH334" t="n">
        <v>7</v>
      </c>
      <c r="AI334" t="n">
        <v>8</v>
      </c>
      <c r="AJ334" t="n">
        <v>9</v>
      </c>
      <c r="AK334" t="n">
        <v>9</v>
      </c>
      <c r="AL334" t="n">
        <v>4</v>
      </c>
      <c r="AM334" t="n">
        <v>4</v>
      </c>
      <c r="AN334" t="n">
        <v>0</v>
      </c>
      <c r="AO334" t="n">
        <v>0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HYPERLINK("http://catalog.hathitrust.org/Record/000662817","HathiTrust Record")</f>
        <v/>
      </c>
      <c r="AS334">
        <f>HYPERLINK("https://creighton-primo.hosted.exlibrisgroup.com/primo-explore/search?tab=default_tab&amp;search_scope=EVERYTHING&amp;vid=01CRU&amp;lang=en_US&amp;offset=0&amp;query=any,contains,991001372509702656","Catalog Record")</f>
        <v/>
      </c>
      <c r="AT334">
        <f>HYPERLINK("http://www.worldcat.org/oclc/224043","WorldCat Record")</f>
        <v/>
      </c>
      <c r="AU334" t="inlineStr">
        <is>
          <t>1332874:eng</t>
        </is>
      </c>
      <c r="AV334" t="inlineStr">
        <is>
          <t>224043</t>
        </is>
      </c>
      <c r="AW334" t="inlineStr">
        <is>
          <t>991001372509702656</t>
        </is>
      </c>
      <c r="AX334" t="inlineStr">
        <is>
          <t>991001372509702656</t>
        </is>
      </c>
      <c r="AY334" t="inlineStr">
        <is>
          <t>2264127030002656</t>
        </is>
      </c>
      <c r="AZ334" t="inlineStr">
        <is>
          <t>BOOK</t>
        </is>
      </c>
      <c r="BC334" t="inlineStr">
        <is>
          <t>32285000600279</t>
        </is>
      </c>
      <c r="BD334" t="inlineStr">
        <is>
          <t>893509576</t>
        </is>
      </c>
    </row>
    <row r="335">
      <c r="A335" t="inlineStr">
        <is>
          <t>No</t>
        </is>
      </c>
      <c r="B335" t="inlineStr">
        <is>
          <t>BF311 .F56 1975</t>
        </is>
      </c>
      <c r="C335" t="inlineStr">
        <is>
          <t>0                      BF 0311000F  56          1975</t>
        </is>
      </c>
      <c r="D335" t="inlineStr">
        <is>
          <t>The language of thought / Jerry A. Fodor.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Fodor, Jerry A.</t>
        </is>
      </c>
      <c r="L335" t="inlineStr">
        <is>
          <t>New York : Crowell, c1975.</t>
        </is>
      </c>
      <c r="M335" t="inlineStr">
        <is>
          <t>1975</t>
        </is>
      </c>
      <c r="O335" t="inlineStr">
        <is>
          <t>eng</t>
        </is>
      </c>
      <c r="P335" t="inlineStr">
        <is>
          <t>nyu</t>
        </is>
      </c>
      <c r="Q335" t="inlineStr">
        <is>
          <t>The Language &amp; thought series</t>
        </is>
      </c>
      <c r="R335" t="inlineStr">
        <is>
          <t xml:space="preserve">BF </t>
        </is>
      </c>
      <c r="S335" t="n">
        <v>2</v>
      </c>
      <c r="T335" t="n">
        <v>2</v>
      </c>
      <c r="U335" t="inlineStr">
        <is>
          <t>2009-02-20</t>
        </is>
      </c>
      <c r="V335" t="inlineStr">
        <is>
          <t>2009-02-20</t>
        </is>
      </c>
      <c r="W335" t="inlineStr">
        <is>
          <t>1991-05-01</t>
        </is>
      </c>
      <c r="X335" t="inlineStr">
        <is>
          <t>1991-05-01</t>
        </is>
      </c>
      <c r="Y335" t="n">
        <v>426</v>
      </c>
      <c r="Z335" t="n">
        <v>329</v>
      </c>
      <c r="AA335" t="n">
        <v>539</v>
      </c>
      <c r="AB335" t="n">
        <v>5</v>
      </c>
      <c r="AC335" t="n">
        <v>5</v>
      </c>
      <c r="AD335" t="n">
        <v>17</v>
      </c>
      <c r="AE335" t="n">
        <v>31</v>
      </c>
      <c r="AF335" t="n">
        <v>2</v>
      </c>
      <c r="AG335" t="n">
        <v>10</v>
      </c>
      <c r="AH335" t="n">
        <v>7</v>
      </c>
      <c r="AI335" t="n">
        <v>8</v>
      </c>
      <c r="AJ335" t="n">
        <v>9</v>
      </c>
      <c r="AK335" t="n">
        <v>17</v>
      </c>
      <c r="AL335" t="n">
        <v>4</v>
      </c>
      <c r="AM335" t="n">
        <v>4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HYPERLINK("http://catalog.hathitrust.org/Record/000662824","HathiTrust Record")</f>
        <v/>
      </c>
      <c r="AS335">
        <f>HYPERLINK("https://creighton-primo.hosted.exlibrisgroup.com/primo-explore/search?tab=default_tab&amp;search_scope=EVERYTHING&amp;vid=01CRU&amp;lang=en_US&amp;offset=0&amp;query=any,contains,991003620799702656","Catalog Record")</f>
        <v/>
      </c>
      <c r="AT335">
        <f>HYPERLINK("http://www.worldcat.org/oclc/1207407","WorldCat Record")</f>
        <v/>
      </c>
      <c r="AU335" t="inlineStr">
        <is>
          <t>521597:eng</t>
        </is>
      </c>
      <c r="AV335" t="inlineStr">
        <is>
          <t>1207407</t>
        </is>
      </c>
      <c r="AW335" t="inlineStr">
        <is>
          <t>991003620799702656</t>
        </is>
      </c>
      <c r="AX335" t="inlineStr">
        <is>
          <t>991003620799702656</t>
        </is>
      </c>
      <c r="AY335" t="inlineStr">
        <is>
          <t>2269447290002656</t>
        </is>
      </c>
      <c r="AZ335" t="inlineStr">
        <is>
          <t>BOOK</t>
        </is>
      </c>
      <c r="BB335" t="inlineStr">
        <is>
          <t>9780690008029</t>
        </is>
      </c>
      <c r="BC335" t="inlineStr">
        <is>
          <t>32285000600287</t>
        </is>
      </c>
      <c r="BD335" t="inlineStr">
        <is>
          <t>893422761</t>
        </is>
      </c>
    </row>
    <row r="336">
      <c r="A336" t="inlineStr">
        <is>
          <t>No</t>
        </is>
      </c>
      <c r="B336" t="inlineStr">
        <is>
          <t>BF311 .F562 1981</t>
        </is>
      </c>
      <c r="C336" t="inlineStr">
        <is>
          <t>0                      BF 0311000F  562         1981</t>
        </is>
      </c>
      <c r="D336" t="inlineStr">
        <is>
          <t>Representations : philosophical essays on the foundations of cognitive science / Jerry A. Fodor.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Fodor, Jerry A.</t>
        </is>
      </c>
      <c r="L336" t="inlineStr">
        <is>
          <t>Cambridge, Mass. : MIT Press, 1981.</t>
        </is>
      </c>
      <c r="M336" t="inlineStr">
        <is>
          <t>1981</t>
        </is>
      </c>
      <c r="N336" t="inlineStr">
        <is>
          <t>1st MIT Press ed.</t>
        </is>
      </c>
      <c r="O336" t="inlineStr">
        <is>
          <t>eng</t>
        </is>
      </c>
      <c r="P336" t="inlineStr">
        <is>
          <t>mau</t>
        </is>
      </c>
      <c r="R336" t="inlineStr">
        <is>
          <t xml:space="preserve">BF </t>
        </is>
      </c>
      <c r="S336" t="n">
        <v>3</v>
      </c>
      <c r="T336" t="n">
        <v>3</v>
      </c>
      <c r="U336" t="inlineStr">
        <is>
          <t>1997-02-28</t>
        </is>
      </c>
      <c r="V336" t="inlineStr">
        <is>
          <t>1997-02-28</t>
        </is>
      </c>
      <c r="W336" t="inlineStr">
        <is>
          <t>1991-07-16</t>
        </is>
      </c>
      <c r="X336" t="inlineStr">
        <is>
          <t>1991-07-16</t>
        </is>
      </c>
      <c r="Y336" t="n">
        <v>546</v>
      </c>
      <c r="Z336" t="n">
        <v>439</v>
      </c>
      <c r="AA336" t="n">
        <v>516</v>
      </c>
      <c r="AB336" t="n">
        <v>2</v>
      </c>
      <c r="AC336" t="n">
        <v>3</v>
      </c>
      <c r="AD336" t="n">
        <v>24</v>
      </c>
      <c r="AE336" t="n">
        <v>30</v>
      </c>
      <c r="AF336" t="n">
        <v>9</v>
      </c>
      <c r="AG336" t="n">
        <v>13</v>
      </c>
      <c r="AH336" t="n">
        <v>8</v>
      </c>
      <c r="AI336" t="n">
        <v>8</v>
      </c>
      <c r="AJ336" t="n">
        <v>14</v>
      </c>
      <c r="AK336" t="n">
        <v>16</v>
      </c>
      <c r="AL336" t="n">
        <v>1</v>
      </c>
      <c r="AM336" t="n">
        <v>2</v>
      </c>
      <c r="AN336" t="n">
        <v>0</v>
      </c>
      <c r="AO336" t="n">
        <v>0</v>
      </c>
      <c r="AP336" t="inlineStr">
        <is>
          <t>No</t>
        </is>
      </c>
      <c r="AQ336" t="inlineStr">
        <is>
          <t>No</t>
        </is>
      </c>
      <c r="AS336">
        <f>HYPERLINK("https://creighton-primo.hosted.exlibrisgroup.com/primo-explore/search?tab=default_tab&amp;search_scope=EVERYTHING&amp;vid=01CRU&amp;lang=en_US&amp;offset=0&amp;query=any,contains,991005115989702656","Catalog Record")</f>
        <v/>
      </c>
      <c r="AT336">
        <f>HYPERLINK("http://www.worldcat.org/oclc/7462473","WorldCat Record")</f>
        <v/>
      </c>
      <c r="AU336" t="inlineStr">
        <is>
          <t>422105:eng</t>
        </is>
      </c>
      <c r="AV336" t="inlineStr">
        <is>
          <t>7462473</t>
        </is>
      </c>
      <c r="AW336" t="inlineStr">
        <is>
          <t>991005115989702656</t>
        </is>
      </c>
      <c r="AX336" t="inlineStr">
        <is>
          <t>991005115989702656</t>
        </is>
      </c>
      <c r="AY336" t="inlineStr">
        <is>
          <t>2262891520002656</t>
        </is>
      </c>
      <c r="AZ336" t="inlineStr">
        <is>
          <t>BOOK</t>
        </is>
      </c>
      <c r="BB336" t="inlineStr">
        <is>
          <t>9780262060790</t>
        </is>
      </c>
      <c r="BC336" t="inlineStr">
        <is>
          <t>32285000675727</t>
        </is>
      </c>
      <c r="BD336" t="inlineStr">
        <is>
          <t>893713465</t>
        </is>
      </c>
    </row>
    <row r="337">
      <c r="A337" t="inlineStr">
        <is>
          <t>No</t>
        </is>
      </c>
      <c r="B337" t="inlineStr">
        <is>
          <t>BF311 .F58</t>
        </is>
      </c>
      <c r="C337" t="inlineStr">
        <is>
          <t>0                      BF 0311000F  58</t>
        </is>
      </c>
      <c r="D337" t="inlineStr">
        <is>
          <t>Perception; the basic process in cognitive development [by] Ronald H. Forgus.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Forgus, Ronald H.</t>
        </is>
      </c>
      <c r="L337" t="inlineStr">
        <is>
          <t>New York, McGraw-Hill [1966]</t>
        </is>
      </c>
      <c r="M337" t="inlineStr">
        <is>
          <t>1966</t>
        </is>
      </c>
      <c r="O337" t="inlineStr">
        <is>
          <t>eng</t>
        </is>
      </c>
      <c r="P337" t="inlineStr">
        <is>
          <t>nyu</t>
        </is>
      </c>
      <c r="Q337" t="inlineStr">
        <is>
          <t>McGraw-Hill series in psychology</t>
        </is>
      </c>
      <c r="R337" t="inlineStr">
        <is>
          <t xml:space="preserve">BF </t>
        </is>
      </c>
      <c r="S337" t="n">
        <v>2</v>
      </c>
      <c r="T337" t="n">
        <v>2</v>
      </c>
      <c r="U337" t="inlineStr">
        <is>
          <t>1996-09-23</t>
        </is>
      </c>
      <c r="V337" t="inlineStr">
        <is>
          <t>1996-09-23</t>
        </is>
      </c>
      <c r="W337" t="inlineStr">
        <is>
          <t>1996-07-26</t>
        </is>
      </c>
      <c r="X337" t="inlineStr">
        <is>
          <t>1996-07-26</t>
        </is>
      </c>
      <c r="Y337" t="n">
        <v>663</v>
      </c>
      <c r="Z337" t="n">
        <v>513</v>
      </c>
      <c r="AA337" t="n">
        <v>516</v>
      </c>
      <c r="AB337" t="n">
        <v>4</v>
      </c>
      <c r="AC337" t="n">
        <v>4</v>
      </c>
      <c r="AD337" t="n">
        <v>17</v>
      </c>
      <c r="AE337" t="n">
        <v>17</v>
      </c>
      <c r="AF337" t="n">
        <v>3</v>
      </c>
      <c r="AG337" t="n">
        <v>3</v>
      </c>
      <c r="AH337" t="n">
        <v>6</v>
      </c>
      <c r="AI337" t="n">
        <v>6</v>
      </c>
      <c r="AJ337" t="n">
        <v>13</v>
      </c>
      <c r="AK337" t="n">
        <v>13</v>
      </c>
      <c r="AL337" t="n">
        <v>2</v>
      </c>
      <c r="AM337" t="n">
        <v>2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HYPERLINK("http://catalog.hathitrust.org/Record/000357722","HathiTrust Record")</f>
        <v/>
      </c>
      <c r="AS337">
        <f>HYPERLINK("https://creighton-primo.hosted.exlibrisgroup.com/primo-explore/search?tab=default_tab&amp;search_scope=EVERYTHING&amp;vid=01CRU&amp;lang=en_US&amp;offset=0&amp;query=any,contains,991003180489702656","Catalog Record")</f>
        <v/>
      </c>
      <c r="AT337">
        <f>HYPERLINK("http://www.worldcat.org/oclc/711642","WorldCat Record")</f>
        <v/>
      </c>
      <c r="AU337" t="inlineStr">
        <is>
          <t>1659501:eng</t>
        </is>
      </c>
      <c r="AV337" t="inlineStr">
        <is>
          <t>711642</t>
        </is>
      </c>
      <c r="AW337" t="inlineStr">
        <is>
          <t>991003180489702656</t>
        </is>
      </c>
      <c r="AX337" t="inlineStr">
        <is>
          <t>991003180489702656</t>
        </is>
      </c>
      <c r="AY337" t="inlineStr">
        <is>
          <t>2261875900002656</t>
        </is>
      </c>
      <c r="AZ337" t="inlineStr">
        <is>
          <t>BOOK</t>
        </is>
      </c>
      <c r="BC337" t="inlineStr">
        <is>
          <t>32285002237831</t>
        </is>
      </c>
      <c r="BD337" t="inlineStr">
        <is>
          <t>893704988</t>
        </is>
      </c>
    </row>
    <row r="338">
      <c r="A338" t="inlineStr">
        <is>
          <t>No</t>
        </is>
      </c>
      <c r="B338" t="inlineStr">
        <is>
          <t>BF311 .F64</t>
        </is>
      </c>
      <c r="C338" t="inlineStr">
        <is>
          <t>0                      BF 0311000F  64</t>
        </is>
      </c>
      <c r="D338" t="inlineStr">
        <is>
          <t>Cognitive development : a life-span view / George E. Forman, Irving E. Sigel ; [cover ill., Jim Pinckney ; interior ill., Ann Geiger].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Forman, George E., 1942-</t>
        </is>
      </c>
      <c r="L338" t="inlineStr">
        <is>
          <t>Monterey, Calif. : Brooks/Cole Pub. Co., c1979.</t>
        </is>
      </c>
      <c r="M338" t="inlineStr">
        <is>
          <t>1979</t>
        </is>
      </c>
      <c r="O338" t="inlineStr">
        <is>
          <t>eng</t>
        </is>
      </c>
      <c r="P338" t="inlineStr">
        <is>
          <t>cau</t>
        </is>
      </c>
      <c r="Q338" t="inlineStr">
        <is>
          <t>Life-span human development series</t>
        </is>
      </c>
      <c r="R338" t="inlineStr">
        <is>
          <t xml:space="preserve">BF </t>
        </is>
      </c>
      <c r="S338" t="n">
        <v>6</v>
      </c>
      <c r="T338" t="n">
        <v>6</v>
      </c>
      <c r="U338" t="inlineStr">
        <is>
          <t>2002-07-17</t>
        </is>
      </c>
      <c r="V338" t="inlineStr">
        <is>
          <t>2002-07-17</t>
        </is>
      </c>
      <c r="W338" t="inlineStr">
        <is>
          <t>1991-05-01</t>
        </is>
      </c>
      <c r="X338" t="inlineStr">
        <is>
          <t>1991-05-01</t>
        </is>
      </c>
      <c r="Y338" t="n">
        <v>371</v>
      </c>
      <c r="Z338" t="n">
        <v>296</v>
      </c>
      <c r="AA338" t="n">
        <v>302</v>
      </c>
      <c r="AB338" t="n">
        <v>2</v>
      </c>
      <c r="AC338" t="n">
        <v>2</v>
      </c>
      <c r="AD338" t="n">
        <v>11</v>
      </c>
      <c r="AE338" t="n">
        <v>11</v>
      </c>
      <c r="AF338" t="n">
        <v>6</v>
      </c>
      <c r="AG338" t="n">
        <v>6</v>
      </c>
      <c r="AH338" t="n">
        <v>3</v>
      </c>
      <c r="AI338" t="n">
        <v>3</v>
      </c>
      <c r="AJ338" t="n">
        <v>6</v>
      </c>
      <c r="AK338" t="n">
        <v>6</v>
      </c>
      <c r="AL338" t="n">
        <v>1</v>
      </c>
      <c r="AM338" t="n">
        <v>1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HYPERLINK("http://catalog.hathitrust.org/Record/000695345","HathiTrust Record")</f>
        <v/>
      </c>
      <c r="AS338">
        <f>HYPERLINK("https://creighton-primo.hosted.exlibrisgroup.com/primo-explore/search?tab=default_tab&amp;search_scope=EVERYTHING&amp;vid=01CRU&amp;lang=en_US&amp;offset=0&amp;query=any,contains,991004678459702656","Catalog Record")</f>
        <v/>
      </c>
      <c r="AT338">
        <f>HYPERLINK("http://www.worldcat.org/oclc/4549672","WorldCat Record")</f>
        <v/>
      </c>
      <c r="AU338" t="inlineStr">
        <is>
          <t>889739511:eng</t>
        </is>
      </c>
      <c r="AV338" t="inlineStr">
        <is>
          <t>4549672</t>
        </is>
      </c>
      <c r="AW338" t="inlineStr">
        <is>
          <t>991004678459702656</t>
        </is>
      </c>
      <c r="AX338" t="inlineStr">
        <is>
          <t>991004678459702656</t>
        </is>
      </c>
      <c r="AY338" t="inlineStr">
        <is>
          <t>2272696920002656</t>
        </is>
      </c>
      <c r="AZ338" t="inlineStr">
        <is>
          <t>BOOK</t>
        </is>
      </c>
      <c r="BB338" t="inlineStr">
        <is>
          <t>9780818502750</t>
        </is>
      </c>
      <c r="BC338" t="inlineStr">
        <is>
          <t>32285000600295</t>
        </is>
      </c>
      <c r="BD338" t="inlineStr">
        <is>
          <t>893895331</t>
        </is>
      </c>
    </row>
    <row r="339">
      <c r="A339" t="inlineStr">
        <is>
          <t>No</t>
        </is>
      </c>
      <c r="B339" t="inlineStr">
        <is>
          <t>BF311 .F88</t>
        </is>
      </c>
      <c r="C339" t="inlineStr">
        <is>
          <t>0                      BF 0311000F  88</t>
        </is>
      </c>
      <c r="D339" t="inlineStr">
        <is>
          <t>Piaget and knowledge : theoretical foundations / [by] Hans G. Furth.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Furth, Hans G.</t>
        </is>
      </c>
      <c r="L339" t="inlineStr">
        <is>
          <t>Englewood Cliffs, N.J. : Prentice-Hall, [1969]</t>
        </is>
      </c>
      <c r="M339" t="inlineStr">
        <is>
          <t>1969</t>
        </is>
      </c>
      <c r="O339" t="inlineStr">
        <is>
          <t>eng</t>
        </is>
      </c>
      <c r="P339" t="inlineStr">
        <is>
          <t>nju</t>
        </is>
      </c>
      <c r="R339" t="inlineStr">
        <is>
          <t xml:space="preserve">BF </t>
        </is>
      </c>
      <c r="S339" t="n">
        <v>1</v>
      </c>
      <c r="T339" t="n">
        <v>1</v>
      </c>
      <c r="U339" t="inlineStr">
        <is>
          <t>1995-03-25</t>
        </is>
      </c>
      <c r="V339" t="inlineStr">
        <is>
          <t>1995-03-25</t>
        </is>
      </c>
      <c r="W339" t="inlineStr">
        <is>
          <t>1994-11-28</t>
        </is>
      </c>
      <c r="X339" t="inlineStr">
        <is>
          <t>1994-11-28</t>
        </is>
      </c>
      <c r="Y339" t="n">
        <v>1222</v>
      </c>
      <c r="Z339" t="n">
        <v>993</v>
      </c>
      <c r="AA339" t="n">
        <v>1143</v>
      </c>
      <c r="AB339" t="n">
        <v>3</v>
      </c>
      <c r="AC339" t="n">
        <v>5</v>
      </c>
      <c r="AD339" t="n">
        <v>35</v>
      </c>
      <c r="AE339" t="n">
        <v>41</v>
      </c>
      <c r="AF339" t="n">
        <v>13</v>
      </c>
      <c r="AG339" t="n">
        <v>15</v>
      </c>
      <c r="AH339" t="n">
        <v>9</v>
      </c>
      <c r="AI339" t="n">
        <v>10</v>
      </c>
      <c r="AJ339" t="n">
        <v>17</v>
      </c>
      <c r="AK339" t="n">
        <v>21</v>
      </c>
      <c r="AL339" t="n">
        <v>2</v>
      </c>
      <c r="AM339" t="n">
        <v>4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HYPERLINK("http://catalog.hathitrust.org/Record/000354559","HathiTrust Record")</f>
        <v/>
      </c>
      <c r="AS339">
        <f>HYPERLINK("https://creighton-primo.hosted.exlibrisgroup.com/primo-explore/search?tab=default_tab&amp;search_scope=EVERYTHING&amp;vid=01CRU&amp;lang=en_US&amp;offset=0&amp;query=any,contains,991005433939702656","Catalog Record")</f>
        <v/>
      </c>
      <c r="AT339">
        <f>HYPERLINK("http://www.worldcat.org/oclc/2194","WorldCat Record")</f>
        <v/>
      </c>
      <c r="AU339" t="inlineStr">
        <is>
          <t>180337299:eng</t>
        </is>
      </c>
      <c r="AV339" t="inlineStr">
        <is>
          <t>2194</t>
        </is>
      </c>
      <c r="AW339" t="inlineStr">
        <is>
          <t>991005433939702656</t>
        </is>
      </c>
      <c r="AX339" t="inlineStr">
        <is>
          <t>991005433939702656</t>
        </is>
      </c>
      <c r="AY339" t="inlineStr">
        <is>
          <t>2262713930002656</t>
        </is>
      </c>
      <c r="AZ339" t="inlineStr">
        <is>
          <t>BOOK</t>
        </is>
      </c>
      <c r="BC339" t="inlineStr">
        <is>
          <t>32285001968436</t>
        </is>
      </c>
      <c r="BD339" t="inlineStr">
        <is>
          <t>893707924</t>
        </is>
      </c>
    </row>
    <row r="340">
      <c r="A340" t="inlineStr">
        <is>
          <t>No</t>
        </is>
      </c>
      <c r="B340" t="inlineStr">
        <is>
          <t>BF311 .G339 1987</t>
        </is>
      </c>
      <c r="C340" t="inlineStr">
        <is>
          <t>0                      BF 0311000G  339         1987</t>
        </is>
      </c>
      <c r="D340" t="inlineStr">
        <is>
          <t>The mind's new science : a history of the cognitive revolution / Howard Gardner ; with a new epilogue by the author : Cognitive science after 1984.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K340" t="inlineStr">
        <is>
          <t>Gardner, Howard, 1943-</t>
        </is>
      </c>
      <c r="L340" t="inlineStr">
        <is>
          <t>New York : Basic Books, 1987.</t>
        </is>
      </c>
      <c r="M340" t="inlineStr">
        <is>
          <t>1987</t>
        </is>
      </c>
      <c r="N340" t="inlineStr">
        <is>
          <t>Paperback ed.</t>
        </is>
      </c>
      <c r="O340" t="inlineStr">
        <is>
          <t>eng</t>
        </is>
      </c>
      <c r="P340" t="inlineStr">
        <is>
          <t>nyu</t>
        </is>
      </c>
      <c r="R340" t="inlineStr">
        <is>
          <t xml:space="preserve">BF </t>
        </is>
      </c>
      <c r="S340" t="n">
        <v>3</v>
      </c>
      <c r="T340" t="n">
        <v>3</v>
      </c>
      <c r="U340" t="inlineStr">
        <is>
          <t>1999-10-24</t>
        </is>
      </c>
      <c r="V340" t="inlineStr">
        <is>
          <t>1999-10-24</t>
        </is>
      </c>
      <c r="W340" t="inlineStr">
        <is>
          <t>1989-11-27</t>
        </is>
      </c>
      <c r="X340" t="inlineStr">
        <is>
          <t>1989-11-27</t>
        </is>
      </c>
      <c r="Y340" t="n">
        <v>402</v>
      </c>
      <c r="Z340" t="n">
        <v>311</v>
      </c>
      <c r="AA340" t="n">
        <v>1529</v>
      </c>
      <c r="AB340" t="n">
        <v>3</v>
      </c>
      <c r="AC340" t="n">
        <v>10</v>
      </c>
      <c r="AD340" t="n">
        <v>8</v>
      </c>
      <c r="AE340" t="n">
        <v>51</v>
      </c>
      <c r="AF340" t="n">
        <v>2</v>
      </c>
      <c r="AG340" t="n">
        <v>23</v>
      </c>
      <c r="AH340" t="n">
        <v>3</v>
      </c>
      <c r="AI340" t="n">
        <v>9</v>
      </c>
      <c r="AJ340" t="n">
        <v>2</v>
      </c>
      <c r="AK340" t="n">
        <v>25</v>
      </c>
      <c r="AL340" t="n">
        <v>2</v>
      </c>
      <c r="AM340" t="n">
        <v>7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HYPERLINK("https://creighton-primo.hosted.exlibrisgroup.com/primo-explore/search?tab=default_tab&amp;search_scope=EVERYTHING&amp;vid=01CRU&amp;lang=en_US&amp;offset=0&amp;query=any,contains,991001117549702656","Catalog Record")</f>
        <v/>
      </c>
      <c r="AT340">
        <f>HYPERLINK("http://www.worldcat.org/oclc/16529666","WorldCat Record")</f>
        <v/>
      </c>
      <c r="AU340" t="inlineStr">
        <is>
          <t>4867451:eng</t>
        </is>
      </c>
      <c r="AV340" t="inlineStr">
        <is>
          <t>16529666</t>
        </is>
      </c>
      <c r="AW340" t="inlineStr">
        <is>
          <t>991001117549702656</t>
        </is>
      </c>
      <c r="AX340" t="inlineStr">
        <is>
          <t>991001117549702656</t>
        </is>
      </c>
      <c r="AY340" t="inlineStr">
        <is>
          <t>2256414460002656</t>
        </is>
      </c>
      <c r="AZ340" t="inlineStr">
        <is>
          <t>BOOK</t>
        </is>
      </c>
      <c r="BB340" t="inlineStr">
        <is>
          <t>9780465046355</t>
        </is>
      </c>
      <c r="BC340" t="inlineStr">
        <is>
          <t>32285000015338</t>
        </is>
      </c>
      <c r="BD340" t="inlineStr">
        <is>
          <t>893334063</t>
        </is>
      </c>
    </row>
    <row r="341">
      <c r="A341" t="inlineStr">
        <is>
          <t>No</t>
        </is>
      </c>
      <c r="B341" t="inlineStr">
        <is>
          <t>BF311 .G77 1988</t>
        </is>
      </c>
      <c r="C341" t="inlineStr">
        <is>
          <t>0                      BF 0311000G  77          1988</t>
        </is>
      </c>
      <c r="D341" t="inlineStr">
        <is>
          <t>Growth points in cognition / edited by Guy Claxton.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L341" t="inlineStr">
        <is>
          <t>London ; New York : Routledge, 1988.</t>
        </is>
      </c>
      <c r="M341" t="inlineStr">
        <is>
          <t>1988</t>
        </is>
      </c>
      <c r="O341" t="inlineStr">
        <is>
          <t>eng</t>
        </is>
      </c>
      <c r="P341" t="inlineStr">
        <is>
          <t>enk</t>
        </is>
      </c>
      <c r="Q341" t="inlineStr">
        <is>
          <t>International library of psychology</t>
        </is>
      </c>
      <c r="R341" t="inlineStr">
        <is>
          <t xml:space="preserve">BF </t>
        </is>
      </c>
      <c r="S341" t="n">
        <v>5</v>
      </c>
      <c r="T341" t="n">
        <v>5</v>
      </c>
      <c r="U341" t="inlineStr">
        <is>
          <t>2001-04-30</t>
        </is>
      </c>
      <c r="V341" t="inlineStr">
        <is>
          <t>2001-04-30</t>
        </is>
      </c>
      <c r="W341" t="inlineStr">
        <is>
          <t>1991-02-11</t>
        </is>
      </c>
      <c r="X341" t="inlineStr">
        <is>
          <t>1991-02-11</t>
        </is>
      </c>
      <c r="Y341" t="n">
        <v>398</v>
      </c>
      <c r="Z341" t="n">
        <v>273</v>
      </c>
      <c r="AA341" t="n">
        <v>279</v>
      </c>
      <c r="AB341" t="n">
        <v>2</v>
      </c>
      <c r="AC341" t="n">
        <v>2</v>
      </c>
      <c r="AD341" t="n">
        <v>14</v>
      </c>
      <c r="AE341" t="n">
        <v>14</v>
      </c>
      <c r="AF341" t="n">
        <v>7</v>
      </c>
      <c r="AG341" t="n">
        <v>7</v>
      </c>
      <c r="AH341" t="n">
        <v>3</v>
      </c>
      <c r="AI341" t="n">
        <v>3</v>
      </c>
      <c r="AJ341" t="n">
        <v>7</v>
      </c>
      <c r="AK341" t="n">
        <v>7</v>
      </c>
      <c r="AL341" t="n">
        <v>1</v>
      </c>
      <c r="AM341" t="n">
        <v>1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HYPERLINK("http://catalog.hathitrust.org/Record/007479194","HathiTrust Record")</f>
        <v/>
      </c>
      <c r="AS341">
        <f>HYPERLINK("https://creighton-primo.hosted.exlibrisgroup.com/primo-explore/search?tab=default_tab&amp;search_scope=EVERYTHING&amp;vid=01CRU&amp;lang=en_US&amp;offset=0&amp;query=any,contains,991001178739702656","Catalog Record")</f>
        <v/>
      </c>
      <c r="AT341">
        <f>HYPERLINK("http://www.worldcat.org/oclc/17105783","WorldCat Record")</f>
        <v/>
      </c>
      <c r="AU341" t="inlineStr">
        <is>
          <t>13176181:eng</t>
        </is>
      </c>
      <c r="AV341" t="inlineStr">
        <is>
          <t>17105783</t>
        </is>
      </c>
      <c r="AW341" t="inlineStr">
        <is>
          <t>991001178739702656</t>
        </is>
      </c>
      <c r="AX341" t="inlineStr">
        <is>
          <t>991001178739702656</t>
        </is>
      </c>
      <c r="AY341" t="inlineStr">
        <is>
          <t>2267330440002656</t>
        </is>
      </c>
      <c r="AZ341" t="inlineStr">
        <is>
          <t>BOOK</t>
        </is>
      </c>
      <c r="BB341" t="inlineStr">
        <is>
          <t>9780415002615</t>
        </is>
      </c>
      <c r="BC341" t="inlineStr">
        <is>
          <t>32285000463868</t>
        </is>
      </c>
      <c r="BD341" t="inlineStr">
        <is>
          <t>893621129</t>
        </is>
      </c>
    </row>
    <row r="342">
      <c r="A342" t="inlineStr">
        <is>
          <t>No</t>
        </is>
      </c>
      <c r="B342" t="inlineStr">
        <is>
          <t>BF311 .H33 1961a</t>
        </is>
      </c>
      <c r="C342" t="inlineStr">
        <is>
          <t>0                      BF 0311000H  33          1961a</t>
        </is>
      </c>
      <c r="D342" t="inlineStr">
        <is>
          <t>Sensation and perception : a history of the philosophy of perception.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Hamlyn, D. W., 1924-</t>
        </is>
      </c>
      <c r="L342" t="inlineStr">
        <is>
          <t>London : Routledge &amp; K. Paul ; New York : Humanities Press, [1961]</t>
        </is>
      </c>
      <c r="M342" t="inlineStr">
        <is>
          <t>1961</t>
        </is>
      </c>
      <c r="O342" t="inlineStr">
        <is>
          <t>eng</t>
        </is>
      </c>
      <c r="P342" t="inlineStr">
        <is>
          <t>nyu</t>
        </is>
      </c>
      <c r="Q342" t="inlineStr">
        <is>
          <t>International library of philosophy and scientific method</t>
        </is>
      </c>
      <c r="R342" t="inlineStr">
        <is>
          <t xml:space="preserve">BF </t>
        </is>
      </c>
      <c r="S342" t="n">
        <v>5</v>
      </c>
      <c r="T342" t="n">
        <v>5</v>
      </c>
      <c r="U342" t="inlineStr">
        <is>
          <t>1996-09-24</t>
        </is>
      </c>
      <c r="V342" t="inlineStr">
        <is>
          <t>1996-09-24</t>
        </is>
      </c>
      <c r="W342" t="inlineStr">
        <is>
          <t>1994-01-12</t>
        </is>
      </c>
      <c r="X342" t="inlineStr">
        <is>
          <t>1994-01-12</t>
        </is>
      </c>
      <c r="Y342" t="n">
        <v>420</v>
      </c>
      <c r="Z342" t="n">
        <v>386</v>
      </c>
      <c r="AA342" t="n">
        <v>575</v>
      </c>
      <c r="AB342" t="n">
        <v>1</v>
      </c>
      <c r="AC342" t="n">
        <v>2</v>
      </c>
      <c r="AD342" t="n">
        <v>21</v>
      </c>
      <c r="AE342" t="n">
        <v>33</v>
      </c>
      <c r="AF342" t="n">
        <v>10</v>
      </c>
      <c r="AG342" t="n">
        <v>15</v>
      </c>
      <c r="AH342" t="n">
        <v>5</v>
      </c>
      <c r="AI342" t="n">
        <v>7</v>
      </c>
      <c r="AJ342" t="n">
        <v>13</v>
      </c>
      <c r="AK342" t="n">
        <v>19</v>
      </c>
      <c r="AL342" t="n">
        <v>0</v>
      </c>
      <c r="AM342" t="n">
        <v>1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HYPERLINK("http://catalog.hathitrust.org/Record/000662705","HathiTrust Record")</f>
        <v/>
      </c>
      <c r="AS342">
        <f>HYPERLINK("https://creighton-primo.hosted.exlibrisgroup.com/primo-explore/search?tab=default_tab&amp;search_scope=EVERYTHING&amp;vid=01CRU&amp;lang=en_US&amp;offset=0&amp;query=any,contains,991003460409702656","Catalog Record")</f>
        <v/>
      </c>
      <c r="AT342">
        <f>HYPERLINK("http://www.worldcat.org/oclc/1001595","WorldCat Record")</f>
        <v/>
      </c>
      <c r="AU342" t="inlineStr">
        <is>
          <t>1916309:eng</t>
        </is>
      </c>
      <c r="AV342" t="inlineStr">
        <is>
          <t>1001595</t>
        </is>
      </c>
      <c r="AW342" t="inlineStr">
        <is>
          <t>991003460409702656</t>
        </is>
      </c>
      <c r="AX342" t="inlineStr">
        <is>
          <t>991003460409702656</t>
        </is>
      </c>
      <c r="AY342" t="inlineStr">
        <is>
          <t>2259324870002656</t>
        </is>
      </c>
      <c r="AZ342" t="inlineStr">
        <is>
          <t>BOOK</t>
        </is>
      </c>
      <c r="BC342" t="inlineStr">
        <is>
          <t>32285001829406</t>
        </is>
      </c>
      <c r="BD342" t="inlineStr">
        <is>
          <t>893531196</t>
        </is>
      </c>
    </row>
    <row r="343">
      <c r="A343" t="inlineStr">
        <is>
          <t>No</t>
        </is>
      </c>
      <c r="B343" t="inlineStr">
        <is>
          <t>BF311 .H3345 1986</t>
        </is>
      </c>
      <c r="C343" t="inlineStr">
        <is>
          <t>0                      BF 0311000H  3345        1986</t>
        </is>
      </c>
      <c r="D343" t="inlineStr">
        <is>
          <t>Handbook of perception and human performance / editors, Kenneth R. Boff, Lloyd Kaufman, James P. Thomas.</t>
        </is>
      </c>
      <c r="E343" t="inlineStr">
        <is>
          <t>V. 2</t>
        </is>
      </c>
      <c r="F343" t="inlineStr">
        <is>
          <t>Yes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L343" t="inlineStr">
        <is>
          <t>New York : Wiley, c1986.</t>
        </is>
      </c>
      <c r="M343" t="inlineStr">
        <is>
          <t>1986</t>
        </is>
      </c>
      <c r="O343" t="inlineStr">
        <is>
          <t>eng</t>
        </is>
      </c>
      <c r="P343" t="inlineStr">
        <is>
          <t>nyu</t>
        </is>
      </c>
      <c r="R343" t="inlineStr">
        <is>
          <t xml:space="preserve">BF </t>
        </is>
      </c>
      <c r="S343" t="n">
        <v>1</v>
      </c>
      <c r="T343" t="n">
        <v>2</v>
      </c>
      <c r="U343" t="inlineStr">
        <is>
          <t>1992-08-31</t>
        </is>
      </c>
      <c r="V343" t="inlineStr">
        <is>
          <t>1992-08-31</t>
        </is>
      </c>
      <c r="W343" t="inlineStr">
        <is>
          <t>1992-02-13</t>
        </is>
      </c>
      <c r="X343" t="inlineStr">
        <is>
          <t>1992-02-13</t>
        </is>
      </c>
      <c r="Y343" t="n">
        <v>635</v>
      </c>
      <c r="Z343" t="n">
        <v>513</v>
      </c>
      <c r="AA343" t="n">
        <v>529</v>
      </c>
      <c r="AB343" t="n">
        <v>3</v>
      </c>
      <c r="AC343" t="n">
        <v>3</v>
      </c>
      <c r="AD343" t="n">
        <v>16</v>
      </c>
      <c r="AE343" t="n">
        <v>16</v>
      </c>
      <c r="AF343" t="n">
        <v>7</v>
      </c>
      <c r="AG343" t="n">
        <v>7</v>
      </c>
      <c r="AH343" t="n">
        <v>4</v>
      </c>
      <c r="AI343" t="n">
        <v>4</v>
      </c>
      <c r="AJ343" t="n">
        <v>8</v>
      </c>
      <c r="AK343" t="n">
        <v>8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HYPERLINK("http://catalog.hathitrust.org/Record/000664959","HathiTrust Record")</f>
        <v/>
      </c>
      <c r="AS343">
        <f>HYPERLINK("https://creighton-primo.hosted.exlibrisgroup.com/primo-explore/search?tab=default_tab&amp;search_scope=EVERYTHING&amp;vid=01CRU&amp;lang=en_US&amp;offset=0&amp;query=any,contains,991000703549702656","Catalog Record")</f>
        <v/>
      </c>
      <c r="AT343">
        <f>HYPERLINK("http://www.worldcat.org/oclc/12553973","WorldCat Record")</f>
        <v/>
      </c>
      <c r="AU343" t="inlineStr">
        <is>
          <t>4790231225:eng</t>
        </is>
      </c>
      <c r="AV343" t="inlineStr">
        <is>
          <t>12553973</t>
        </is>
      </c>
      <c r="AW343" t="inlineStr">
        <is>
          <t>991000703549702656</t>
        </is>
      </c>
      <c r="AX343" t="inlineStr">
        <is>
          <t>991000703549702656</t>
        </is>
      </c>
      <c r="AY343" t="inlineStr">
        <is>
          <t>2257259290002656</t>
        </is>
      </c>
      <c r="AZ343" t="inlineStr">
        <is>
          <t>BOOK</t>
        </is>
      </c>
      <c r="BB343" t="inlineStr">
        <is>
          <t>9780471829560</t>
        </is>
      </c>
      <c r="BC343" t="inlineStr">
        <is>
          <t>32285000980440</t>
        </is>
      </c>
      <c r="BD343" t="inlineStr">
        <is>
          <t>893231338</t>
        </is>
      </c>
    </row>
    <row r="344">
      <c r="A344" t="inlineStr">
        <is>
          <t>No</t>
        </is>
      </c>
      <c r="B344" t="inlineStr">
        <is>
          <t>BF311 .H3345 1986</t>
        </is>
      </c>
      <c r="C344" t="inlineStr">
        <is>
          <t>0                      BF 0311000H  3345        1986</t>
        </is>
      </c>
      <c r="D344" t="inlineStr">
        <is>
          <t>Handbook of perception and human performance / editors, Kenneth R. Boff, Lloyd Kaufman, James P. Thomas.</t>
        </is>
      </c>
      <c r="E344" t="inlineStr">
        <is>
          <t>V. 1</t>
        </is>
      </c>
      <c r="F344" t="inlineStr">
        <is>
          <t>Yes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L344" t="inlineStr">
        <is>
          <t>New York : Wiley, c1986.</t>
        </is>
      </c>
      <c r="M344" t="inlineStr">
        <is>
          <t>1986</t>
        </is>
      </c>
      <c r="O344" t="inlineStr">
        <is>
          <t>eng</t>
        </is>
      </c>
      <c r="P344" t="inlineStr">
        <is>
          <t>nyu</t>
        </is>
      </c>
      <c r="R344" t="inlineStr">
        <is>
          <t xml:space="preserve">BF </t>
        </is>
      </c>
      <c r="S344" t="n">
        <v>1</v>
      </c>
      <c r="T344" t="n">
        <v>2</v>
      </c>
      <c r="U344" t="inlineStr">
        <is>
          <t>1992-08-31</t>
        </is>
      </c>
      <c r="V344" t="inlineStr">
        <is>
          <t>1992-08-31</t>
        </is>
      </c>
      <c r="W344" t="inlineStr">
        <is>
          <t>1992-02-13</t>
        </is>
      </c>
      <c r="X344" t="inlineStr">
        <is>
          <t>1992-02-13</t>
        </is>
      </c>
      <c r="Y344" t="n">
        <v>635</v>
      </c>
      <c r="Z344" t="n">
        <v>513</v>
      </c>
      <c r="AA344" t="n">
        <v>529</v>
      </c>
      <c r="AB344" t="n">
        <v>3</v>
      </c>
      <c r="AC344" t="n">
        <v>3</v>
      </c>
      <c r="AD344" t="n">
        <v>16</v>
      </c>
      <c r="AE344" t="n">
        <v>16</v>
      </c>
      <c r="AF344" t="n">
        <v>7</v>
      </c>
      <c r="AG344" t="n">
        <v>7</v>
      </c>
      <c r="AH344" t="n">
        <v>4</v>
      </c>
      <c r="AI344" t="n">
        <v>4</v>
      </c>
      <c r="AJ344" t="n">
        <v>8</v>
      </c>
      <c r="AK344" t="n">
        <v>8</v>
      </c>
      <c r="AL344" t="n">
        <v>2</v>
      </c>
      <c r="AM344" t="n">
        <v>2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HYPERLINK("http://catalog.hathitrust.org/Record/000664959","HathiTrust Record")</f>
        <v/>
      </c>
      <c r="AS344">
        <f>HYPERLINK("https://creighton-primo.hosted.exlibrisgroup.com/primo-explore/search?tab=default_tab&amp;search_scope=EVERYTHING&amp;vid=01CRU&amp;lang=en_US&amp;offset=0&amp;query=any,contains,991000703549702656","Catalog Record")</f>
        <v/>
      </c>
      <c r="AT344">
        <f>HYPERLINK("http://www.worldcat.org/oclc/12553973","WorldCat Record")</f>
        <v/>
      </c>
      <c r="AU344" t="inlineStr">
        <is>
          <t>4790231225:eng</t>
        </is>
      </c>
      <c r="AV344" t="inlineStr">
        <is>
          <t>12553973</t>
        </is>
      </c>
      <c r="AW344" t="inlineStr">
        <is>
          <t>991000703549702656</t>
        </is>
      </c>
      <c r="AX344" t="inlineStr">
        <is>
          <t>991000703549702656</t>
        </is>
      </c>
      <c r="AY344" t="inlineStr">
        <is>
          <t>2257259290002656</t>
        </is>
      </c>
      <c r="AZ344" t="inlineStr">
        <is>
          <t>BOOK</t>
        </is>
      </c>
      <c r="BB344" t="inlineStr">
        <is>
          <t>9780471829560</t>
        </is>
      </c>
      <c r="BC344" t="inlineStr">
        <is>
          <t>32285000980432</t>
        </is>
      </c>
      <c r="BD344" t="inlineStr">
        <is>
          <t>893261578</t>
        </is>
      </c>
    </row>
    <row r="345">
      <c r="A345" t="inlineStr">
        <is>
          <t>No</t>
        </is>
      </c>
      <c r="B345" t="inlineStr">
        <is>
          <t>BF311 .H37</t>
        </is>
      </c>
      <c r="C345" t="inlineStr">
        <is>
          <t>0                      BF 0311000H  37</t>
        </is>
      </c>
      <c r="D345" t="inlineStr">
        <is>
          <t>Motivation and social interaction, cognitive determinants.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Harvey, O. J., editor.</t>
        </is>
      </c>
      <c r="L345" t="inlineStr">
        <is>
          <t>New York, Ronald Press Co. [1963]</t>
        </is>
      </c>
      <c r="M345" t="inlineStr">
        <is>
          <t>1963</t>
        </is>
      </c>
      <c r="O345" t="inlineStr">
        <is>
          <t>eng</t>
        </is>
      </c>
      <c r="P345" t="inlineStr">
        <is>
          <t>nyu</t>
        </is>
      </c>
      <c r="Q345" t="inlineStr">
        <is>
          <t>A Psychology series</t>
        </is>
      </c>
      <c r="R345" t="inlineStr">
        <is>
          <t xml:space="preserve">BF </t>
        </is>
      </c>
      <c r="S345" t="n">
        <v>1</v>
      </c>
      <c r="T345" t="n">
        <v>1</v>
      </c>
      <c r="U345" t="inlineStr">
        <is>
          <t>1997-02-21</t>
        </is>
      </c>
      <c r="V345" t="inlineStr">
        <is>
          <t>1997-02-21</t>
        </is>
      </c>
      <c r="W345" t="inlineStr">
        <is>
          <t>1996-07-26</t>
        </is>
      </c>
      <c r="X345" t="inlineStr">
        <is>
          <t>1996-07-26</t>
        </is>
      </c>
      <c r="Y345" t="n">
        <v>540</v>
      </c>
      <c r="Z345" t="n">
        <v>408</v>
      </c>
      <c r="AA345" t="n">
        <v>410</v>
      </c>
      <c r="AB345" t="n">
        <v>2</v>
      </c>
      <c r="AC345" t="n">
        <v>2</v>
      </c>
      <c r="AD345" t="n">
        <v>20</v>
      </c>
      <c r="AE345" t="n">
        <v>20</v>
      </c>
      <c r="AF345" t="n">
        <v>6</v>
      </c>
      <c r="AG345" t="n">
        <v>6</v>
      </c>
      <c r="AH345" t="n">
        <v>7</v>
      </c>
      <c r="AI345" t="n">
        <v>7</v>
      </c>
      <c r="AJ345" t="n">
        <v>13</v>
      </c>
      <c r="AK345" t="n">
        <v>13</v>
      </c>
      <c r="AL345" t="n">
        <v>1</v>
      </c>
      <c r="AM345" t="n">
        <v>1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R345">
        <f>HYPERLINK("http://catalog.hathitrust.org/Record/000354296","HathiTrust Record")</f>
        <v/>
      </c>
      <c r="AS345">
        <f>HYPERLINK("https://creighton-primo.hosted.exlibrisgroup.com/primo-explore/search?tab=default_tab&amp;search_scope=EVERYTHING&amp;vid=01CRU&amp;lang=en_US&amp;offset=0&amp;query=any,contains,991003535889702656","Catalog Record")</f>
        <v/>
      </c>
      <c r="AT345">
        <f>HYPERLINK("http://www.worldcat.org/oclc/1100602","WorldCat Record")</f>
        <v/>
      </c>
      <c r="AU345" t="inlineStr">
        <is>
          <t>907997081:eng</t>
        </is>
      </c>
      <c r="AV345" t="inlineStr">
        <is>
          <t>1100602</t>
        </is>
      </c>
      <c r="AW345" t="inlineStr">
        <is>
          <t>991003535889702656</t>
        </is>
      </c>
      <c r="AX345" t="inlineStr">
        <is>
          <t>991003535889702656</t>
        </is>
      </c>
      <c r="AY345" t="inlineStr">
        <is>
          <t>2269048000002656</t>
        </is>
      </c>
      <c r="AZ345" t="inlineStr">
        <is>
          <t>BOOK</t>
        </is>
      </c>
      <c r="BC345" t="inlineStr">
        <is>
          <t>32285002237906</t>
        </is>
      </c>
      <c r="BD345" t="inlineStr">
        <is>
          <t>893246451</t>
        </is>
      </c>
    </row>
    <row r="346">
      <c r="A346" t="inlineStr">
        <is>
          <t>No</t>
        </is>
      </c>
      <c r="B346" t="inlineStr">
        <is>
          <t>BF311 .H388 1978</t>
        </is>
      </c>
      <c r="C346" t="inlineStr">
        <is>
          <t>0                      BF 0311000H  388         1978</t>
        </is>
      </c>
      <c r="D346" t="inlineStr">
        <is>
          <t>Cognitive psychology : thinking and creating / John R. Hayes.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Hayes, John R., 1929-</t>
        </is>
      </c>
      <c r="L346" t="inlineStr">
        <is>
          <t>Homewood, Ill. : Dorsey Press, 1978.</t>
        </is>
      </c>
      <c r="M346" t="inlineStr">
        <is>
          <t>1978</t>
        </is>
      </c>
      <c r="O346" t="inlineStr">
        <is>
          <t>eng</t>
        </is>
      </c>
      <c r="P346" t="inlineStr">
        <is>
          <t>ilu</t>
        </is>
      </c>
      <c r="Q346" t="inlineStr">
        <is>
          <t>The Dorsey series in psychology</t>
        </is>
      </c>
      <c r="R346" t="inlineStr">
        <is>
          <t xml:space="preserve">BF </t>
        </is>
      </c>
      <c r="S346" t="n">
        <v>6</v>
      </c>
      <c r="T346" t="n">
        <v>6</v>
      </c>
      <c r="U346" t="inlineStr">
        <is>
          <t>1997-11-30</t>
        </is>
      </c>
      <c r="V346" t="inlineStr">
        <is>
          <t>1997-11-30</t>
        </is>
      </c>
      <c r="W346" t="inlineStr">
        <is>
          <t>1991-05-09</t>
        </is>
      </c>
      <c r="X346" t="inlineStr">
        <is>
          <t>1991-05-09</t>
        </is>
      </c>
      <c r="Y346" t="n">
        <v>291</v>
      </c>
      <c r="Z346" t="n">
        <v>209</v>
      </c>
      <c r="AA346" t="n">
        <v>216</v>
      </c>
      <c r="AB346" t="n">
        <v>2</v>
      </c>
      <c r="AC346" t="n">
        <v>2</v>
      </c>
      <c r="AD346" t="n">
        <v>12</v>
      </c>
      <c r="AE346" t="n">
        <v>12</v>
      </c>
      <c r="AF346" t="n">
        <v>4</v>
      </c>
      <c r="AG346" t="n">
        <v>4</v>
      </c>
      <c r="AH346" t="n">
        <v>4</v>
      </c>
      <c r="AI346" t="n">
        <v>4</v>
      </c>
      <c r="AJ346" t="n">
        <v>6</v>
      </c>
      <c r="AK346" t="n">
        <v>6</v>
      </c>
      <c r="AL346" t="n">
        <v>1</v>
      </c>
      <c r="AM346" t="n">
        <v>1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HYPERLINK("http://catalog.hathitrust.org/Record/000264545","HathiTrust Record")</f>
        <v/>
      </c>
      <c r="AS346">
        <f>HYPERLINK("https://creighton-primo.hosted.exlibrisgroup.com/primo-explore/search?tab=default_tab&amp;search_scope=EVERYTHING&amp;vid=01CRU&amp;lang=en_US&amp;offset=0&amp;query=any,contains,991004575429702656","Catalog Record")</f>
        <v/>
      </c>
      <c r="AT346">
        <f>HYPERLINK("http://www.worldcat.org/oclc/4037303","WorldCat Record")</f>
        <v/>
      </c>
      <c r="AU346" t="inlineStr">
        <is>
          <t>889465197:eng</t>
        </is>
      </c>
      <c r="AV346" t="inlineStr">
        <is>
          <t>4037303</t>
        </is>
      </c>
      <c r="AW346" t="inlineStr">
        <is>
          <t>991004575429702656</t>
        </is>
      </c>
      <c r="AX346" t="inlineStr">
        <is>
          <t>991004575429702656</t>
        </is>
      </c>
      <c r="AY346" t="inlineStr">
        <is>
          <t>2269022610002656</t>
        </is>
      </c>
      <c r="AZ346" t="inlineStr">
        <is>
          <t>BOOK</t>
        </is>
      </c>
      <c r="BB346" t="inlineStr">
        <is>
          <t>9780256020656</t>
        </is>
      </c>
      <c r="BC346" t="inlineStr">
        <is>
          <t>32285000572478</t>
        </is>
      </c>
      <c r="BD346" t="inlineStr">
        <is>
          <t>893888902</t>
        </is>
      </c>
    </row>
    <row r="347">
      <c r="A347" t="inlineStr">
        <is>
          <t>No</t>
        </is>
      </c>
      <c r="B347" t="inlineStr">
        <is>
          <t>BF311 .H82 1982</t>
        </is>
      </c>
      <c r="C347" t="inlineStr">
        <is>
          <t>0                      BF 0311000H  82          1982</t>
        </is>
      </c>
      <c r="D347" t="inlineStr">
        <is>
          <t>The universe within : a new science explores the human mind / by Morton Hunt.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Hunt, Morton M., 1920-</t>
        </is>
      </c>
      <c r="L347" t="inlineStr">
        <is>
          <t>New York : Simon and Schuster, c1982.</t>
        </is>
      </c>
      <c r="M347" t="inlineStr">
        <is>
          <t>1982</t>
        </is>
      </c>
      <c r="O347" t="inlineStr">
        <is>
          <t>eng</t>
        </is>
      </c>
      <c r="P347" t="inlineStr">
        <is>
          <t>nyu</t>
        </is>
      </c>
      <c r="R347" t="inlineStr">
        <is>
          <t xml:space="preserve">BF </t>
        </is>
      </c>
      <c r="S347" t="n">
        <v>3</v>
      </c>
      <c r="T347" t="n">
        <v>3</v>
      </c>
      <c r="U347" t="inlineStr">
        <is>
          <t>1994-03-01</t>
        </is>
      </c>
      <c r="V347" t="inlineStr">
        <is>
          <t>1994-03-01</t>
        </is>
      </c>
      <c r="W347" t="inlineStr">
        <is>
          <t>1991-07-16</t>
        </is>
      </c>
      <c r="X347" t="inlineStr">
        <is>
          <t>1991-07-16</t>
        </is>
      </c>
      <c r="Y347" t="n">
        <v>1134</v>
      </c>
      <c r="Z347" t="n">
        <v>1063</v>
      </c>
      <c r="AA347" t="n">
        <v>1110</v>
      </c>
      <c r="AB347" t="n">
        <v>6</v>
      </c>
      <c r="AC347" t="n">
        <v>6</v>
      </c>
      <c r="AD347" t="n">
        <v>23</v>
      </c>
      <c r="AE347" t="n">
        <v>23</v>
      </c>
      <c r="AF347" t="n">
        <v>11</v>
      </c>
      <c r="AG347" t="n">
        <v>11</v>
      </c>
      <c r="AH347" t="n">
        <v>4</v>
      </c>
      <c r="AI347" t="n">
        <v>4</v>
      </c>
      <c r="AJ347" t="n">
        <v>12</v>
      </c>
      <c r="AK347" t="n">
        <v>12</v>
      </c>
      <c r="AL347" t="n">
        <v>2</v>
      </c>
      <c r="AM347" t="n">
        <v>2</v>
      </c>
      <c r="AN347" t="n">
        <v>1</v>
      </c>
      <c r="AO347" t="n">
        <v>1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HYPERLINK("http://catalog.hathitrust.org/Record/000227086","HathiTrust Record")</f>
        <v/>
      </c>
      <c r="AS347">
        <f>HYPERLINK("https://creighton-primo.hosted.exlibrisgroup.com/primo-explore/search?tab=default_tab&amp;search_scope=EVERYTHING&amp;vid=01CRU&amp;lang=en_US&amp;offset=0&amp;query=any,contains,991005159489702656","Catalog Record")</f>
        <v/>
      </c>
      <c r="AT347">
        <f>HYPERLINK("http://www.worldcat.org/oclc/7773739","WorldCat Record")</f>
        <v/>
      </c>
      <c r="AU347" t="inlineStr">
        <is>
          <t>2862332:eng</t>
        </is>
      </c>
      <c r="AV347" t="inlineStr">
        <is>
          <t>7773739</t>
        </is>
      </c>
      <c r="AW347" t="inlineStr">
        <is>
          <t>991005159489702656</t>
        </is>
      </c>
      <c r="AX347" t="inlineStr">
        <is>
          <t>991005159489702656</t>
        </is>
      </c>
      <c r="AY347" t="inlineStr">
        <is>
          <t>2269306710002656</t>
        </is>
      </c>
      <c r="AZ347" t="inlineStr">
        <is>
          <t>BOOK</t>
        </is>
      </c>
      <c r="BB347" t="inlineStr">
        <is>
          <t>9780671252588</t>
        </is>
      </c>
      <c r="BC347" t="inlineStr">
        <is>
          <t>32285000675735</t>
        </is>
      </c>
      <c r="BD347" t="inlineStr">
        <is>
          <t>893877036</t>
        </is>
      </c>
    </row>
    <row r="348">
      <c r="A348" t="inlineStr">
        <is>
          <t>No</t>
        </is>
      </c>
      <c r="B348" t="inlineStr">
        <is>
          <t>BF311 .H84</t>
        </is>
      </c>
      <c r="C348" t="inlineStr">
        <is>
          <t>0                      BF 0311000H  84</t>
        </is>
      </c>
      <c r="D348" t="inlineStr">
        <is>
          <t>The storming of the mind.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Hunter, Robert Edwards, 1940-</t>
        </is>
      </c>
      <c r="L348" t="inlineStr">
        <is>
          <t>Garden City, N.Y. : Doubleday, 1972.</t>
        </is>
      </c>
      <c r="M348" t="inlineStr">
        <is>
          <t>1972</t>
        </is>
      </c>
      <c r="O348" t="inlineStr">
        <is>
          <t>eng</t>
        </is>
      </c>
      <c r="P348" t="inlineStr">
        <is>
          <t xml:space="preserve">xx </t>
        </is>
      </c>
      <c r="Q348" t="inlineStr">
        <is>
          <t>An Anchor book, AO-37</t>
        </is>
      </c>
      <c r="R348" t="inlineStr">
        <is>
          <t xml:space="preserve">BF </t>
        </is>
      </c>
      <c r="S348" t="n">
        <v>1</v>
      </c>
      <c r="T348" t="n">
        <v>1</v>
      </c>
      <c r="U348" t="inlineStr">
        <is>
          <t>1996-07-17</t>
        </is>
      </c>
      <c r="V348" t="inlineStr">
        <is>
          <t>1996-07-17</t>
        </is>
      </c>
      <c r="W348" t="inlineStr">
        <is>
          <t>1994-09-19</t>
        </is>
      </c>
      <c r="X348" t="inlineStr">
        <is>
          <t>1994-09-19</t>
        </is>
      </c>
      <c r="Y348" t="n">
        <v>53</v>
      </c>
      <c r="Z348" t="n">
        <v>49</v>
      </c>
      <c r="AA348" t="n">
        <v>256</v>
      </c>
      <c r="AB348" t="n">
        <v>2</v>
      </c>
      <c r="AC348" t="n">
        <v>3</v>
      </c>
      <c r="AD348" t="n">
        <v>2</v>
      </c>
      <c r="AE348" t="n">
        <v>7</v>
      </c>
      <c r="AF348" t="n">
        <v>1</v>
      </c>
      <c r="AG348" t="n">
        <v>2</v>
      </c>
      <c r="AH348" t="n">
        <v>0</v>
      </c>
      <c r="AI348" t="n">
        <v>2</v>
      </c>
      <c r="AJ348" t="n">
        <v>1</v>
      </c>
      <c r="AK348" t="n">
        <v>5</v>
      </c>
      <c r="AL348" t="n">
        <v>1</v>
      </c>
      <c r="AM348" t="n">
        <v>2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HYPERLINK("https://creighton-primo.hosted.exlibrisgroup.com/primo-explore/search?tab=default_tab&amp;search_scope=EVERYTHING&amp;vid=01CRU&amp;lang=en_US&amp;offset=0&amp;query=any,contains,991003676189702656","Catalog Record")</f>
        <v/>
      </c>
      <c r="AT348">
        <f>HYPERLINK("http://www.worldcat.org/oclc/1297210","WorldCat Record")</f>
        <v/>
      </c>
      <c r="AU348" t="inlineStr">
        <is>
          <t>1423149:eng</t>
        </is>
      </c>
      <c r="AV348" t="inlineStr">
        <is>
          <t>1297210</t>
        </is>
      </c>
      <c r="AW348" t="inlineStr">
        <is>
          <t>991003676189702656</t>
        </is>
      </c>
      <c r="AX348" t="inlineStr">
        <is>
          <t>991003676189702656</t>
        </is>
      </c>
      <c r="AY348" t="inlineStr">
        <is>
          <t>2262063090002656</t>
        </is>
      </c>
      <c r="AZ348" t="inlineStr">
        <is>
          <t>BOOK</t>
        </is>
      </c>
      <c r="BC348" t="inlineStr">
        <is>
          <t>32285001951150</t>
        </is>
      </c>
      <c r="BD348" t="inlineStr">
        <is>
          <t>893693017</t>
        </is>
      </c>
    </row>
    <row r="349">
      <c r="A349" t="inlineStr">
        <is>
          <t>No</t>
        </is>
      </c>
      <c r="B349" t="inlineStr">
        <is>
          <t>BF311 .I5 1983, v...</t>
        </is>
      </c>
      <c r="C349" t="inlineStr">
        <is>
          <t>0                      BF 0311000I  5           1983                                        v...</t>
        </is>
      </c>
      <c r="D349" t="inlineStr">
        <is>
          <t>Individual differences in cognition / edited by Ronna F. Dillon, Ronald R. Schmeck ; with a foreword by Robert Glaser.</t>
        </is>
      </c>
      <c r="E349" t="inlineStr">
        <is>
          <t>V.2</t>
        </is>
      </c>
      <c r="F349" t="inlineStr">
        <is>
          <t>Yes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New York : Academic Press, 1983-</t>
        </is>
      </c>
      <c r="M349" t="inlineStr">
        <is>
          <t>1983</t>
        </is>
      </c>
      <c r="O349" t="inlineStr">
        <is>
          <t>eng</t>
        </is>
      </c>
      <c r="P349" t="inlineStr">
        <is>
          <t>nyu</t>
        </is>
      </c>
      <c r="R349" t="inlineStr">
        <is>
          <t xml:space="preserve">BF </t>
        </is>
      </c>
      <c r="S349" t="n">
        <v>6</v>
      </c>
      <c r="T349" t="n">
        <v>12</v>
      </c>
      <c r="U349" t="inlineStr">
        <is>
          <t>1999-03-20</t>
        </is>
      </c>
      <c r="V349" t="inlineStr">
        <is>
          <t>2000-09-15</t>
        </is>
      </c>
      <c r="W349" t="inlineStr">
        <is>
          <t>1991-05-02</t>
        </is>
      </c>
      <c r="X349" t="inlineStr">
        <is>
          <t>1991-05-02</t>
        </is>
      </c>
      <c r="Y349" t="n">
        <v>457</v>
      </c>
      <c r="Z349" t="n">
        <v>337</v>
      </c>
      <c r="AA349" t="n">
        <v>341</v>
      </c>
      <c r="AB349" t="n">
        <v>3</v>
      </c>
      <c r="AC349" t="n">
        <v>3</v>
      </c>
      <c r="AD349" t="n">
        <v>14</v>
      </c>
      <c r="AE349" t="n">
        <v>14</v>
      </c>
      <c r="AF349" t="n">
        <v>3</v>
      </c>
      <c r="AG349" t="n">
        <v>3</v>
      </c>
      <c r="AH349" t="n">
        <v>3</v>
      </c>
      <c r="AI349" t="n">
        <v>3</v>
      </c>
      <c r="AJ349" t="n">
        <v>9</v>
      </c>
      <c r="AK349" t="n">
        <v>9</v>
      </c>
      <c r="AL349" t="n">
        <v>2</v>
      </c>
      <c r="AM349" t="n">
        <v>2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HYPERLINK("http://catalog.hathitrust.org/Record/000199382","HathiTrust Record")</f>
        <v/>
      </c>
      <c r="AS349">
        <f>HYPERLINK("https://creighton-primo.hosted.exlibrisgroup.com/primo-explore/search?tab=default_tab&amp;search_scope=EVERYTHING&amp;vid=01CRU&amp;lang=en_US&amp;offset=0&amp;query=any,contains,991000126939702656","Catalog Record")</f>
        <v/>
      </c>
      <c r="AT349">
        <f>HYPERLINK("http://www.worldcat.org/oclc/9084022","WorldCat Record")</f>
        <v/>
      </c>
      <c r="AU349" t="inlineStr">
        <is>
          <t>5454283088:eng</t>
        </is>
      </c>
      <c r="AV349" t="inlineStr">
        <is>
          <t>9084022</t>
        </is>
      </c>
      <c r="AW349" t="inlineStr">
        <is>
          <t>991000126939702656</t>
        </is>
      </c>
      <c r="AX349" t="inlineStr">
        <is>
          <t>991000126939702656</t>
        </is>
      </c>
      <c r="AY349" t="inlineStr">
        <is>
          <t>2255356480002656</t>
        </is>
      </c>
      <c r="AZ349" t="inlineStr">
        <is>
          <t>BOOK</t>
        </is>
      </c>
      <c r="BB349" t="inlineStr">
        <is>
          <t>9780122164019</t>
        </is>
      </c>
      <c r="BC349" t="inlineStr">
        <is>
          <t>32285000600444</t>
        </is>
      </c>
      <c r="BD349" t="inlineStr">
        <is>
          <t>893320829</t>
        </is>
      </c>
    </row>
    <row r="350">
      <c r="A350" t="inlineStr">
        <is>
          <t>No</t>
        </is>
      </c>
      <c r="B350" t="inlineStr">
        <is>
          <t>BF311 .I5 1983, v...</t>
        </is>
      </c>
      <c r="C350" t="inlineStr">
        <is>
          <t>0                      BF 0311000I  5           1983                                        v...</t>
        </is>
      </c>
      <c r="D350" t="inlineStr">
        <is>
          <t>Individual differences in cognition / edited by Ronna F. Dillon, Ronald R. Schmeck ; with a foreword by Robert Glaser.</t>
        </is>
      </c>
      <c r="E350" t="inlineStr">
        <is>
          <t>V.1</t>
        </is>
      </c>
      <c r="F350" t="inlineStr">
        <is>
          <t>Yes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L350" t="inlineStr">
        <is>
          <t>New York : Academic Press, 1983-</t>
        </is>
      </c>
      <c r="M350" t="inlineStr">
        <is>
          <t>1983</t>
        </is>
      </c>
      <c r="O350" t="inlineStr">
        <is>
          <t>eng</t>
        </is>
      </c>
      <c r="P350" t="inlineStr">
        <is>
          <t>nyu</t>
        </is>
      </c>
      <c r="R350" t="inlineStr">
        <is>
          <t xml:space="preserve">BF </t>
        </is>
      </c>
      <c r="S350" t="n">
        <v>6</v>
      </c>
      <c r="T350" t="n">
        <v>12</v>
      </c>
      <c r="U350" t="inlineStr">
        <is>
          <t>2000-09-15</t>
        </is>
      </c>
      <c r="V350" t="inlineStr">
        <is>
          <t>2000-09-15</t>
        </is>
      </c>
      <c r="W350" t="inlineStr">
        <is>
          <t>1991-05-02</t>
        </is>
      </c>
      <c r="X350" t="inlineStr">
        <is>
          <t>1991-05-02</t>
        </is>
      </c>
      <c r="Y350" t="n">
        <v>457</v>
      </c>
      <c r="Z350" t="n">
        <v>337</v>
      </c>
      <c r="AA350" t="n">
        <v>341</v>
      </c>
      <c r="AB350" t="n">
        <v>3</v>
      </c>
      <c r="AC350" t="n">
        <v>3</v>
      </c>
      <c r="AD350" t="n">
        <v>14</v>
      </c>
      <c r="AE350" t="n">
        <v>14</v>
      </c>
      <c r="AF350" t="n">
        <v>3</v>
      </c>
      <c r="AG350" t="n">
        <v>3</v>
      </c>
      <c r="AH350" t="n">
        <v>3</v>
      </c>
      <c r="AI350" t="n">
        <v>3</v>
      </c>
      <c r="AJ350" t="n">
        <v>9</v>
      </c>
      <c r="AK350" t="n">
        <v>9</v>
      </c>
      <c r="AL350" t="n">
        <v>2</v>
      </c>
      <c r="AM350" t="n">
        <v>2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HYPERLINK("http://catalog.hathitrust.org/Record/000199382","HathiTrust Record")</f>
        <v/>
      </c>
      <c r="AS350">
        <f>HYPERLINK("https://creighton-primo.hosted.exlibrisgroup.com/primo-explore/search?tab=default_tab&amp;search_scope=EVERYTHING&amp;vid=01CRU&amp;lang=en_US&amp;offset=0&amp;query=any,contains,991000126939702656","Catalog Record")</f>
        <v/>
      </c>
      <c r="AT350">
        <f>HYPERLINK("http://www.worldcat.org/oclc/9084022","WorldCat Record")</f>
        <v/>
      </c>
      <c r="AU350" t="inlineStr">
        <is>
          <t>5454283088:eng</t>
        </is>
      </c>
      <c r="AV350" t="inlineStr">
        <is>
          <t>9084022</t>
        </is>
      </c>
      <c r="AW350" t="inlineStr">
        <is>
          <t>991000126939702656</t>
        </is>
      </c>
      <c r="AX350" t="inlineStr">
        <is>
          <t>991000126939702656</t>
        </is>
      </c>
      <c r="AY350" t="inlineStr">
        <is>
          <t>2255356480002656</t>
        </is>
      </c>
      <c r="AZ350" t="inlineStr">
        <is>
          <t>BOOK</t>
        </is>
      </c>
      <c r="BB350" t="inlineStr">
        <is>
          <t>9780122164019</t>
        </is>
      </c>
      <c r="BC350" t="inlineStr">
        <is>
          <t>32285000600436</t>
        </is>
      </c>
      <c r="BD350" t="inlineStr">
        <is>
          <t>893333236</t>
        </is>
      </c>
    </row>
    <row r="351">
      <c r="A351" t="inlineStr">
        <is>
          <t>No</t>
        </is>
      </c>
      <c r="B351" t="inlineStr">
        <is>
          <t>BF311 .I59</t>
        </is>
      </c>
      <c r="C351" t="inlineStr">
        <is>
          <t>0                      BF 0311000I  59</t>
        </is>
      </c>
      <c r="D351" t="inlineStr">
        <is>
          <t>Intersensory perception and sensory integration / edited by Richard D. Walk and Herbert L. Pick, Jr.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L351" t="inlineStr">
        <is>
          <t>New York : Plenum Press, c1981.</t>
        </is>
      </c>
      <c r="M351" t="inlineStr">
        <is>
          <t>1981</t>
        </is>
      </c>
      <c r="O351" t="inlineStr">
        <is>
          <t>eng</t>
        </is>
      </c>
      <c r="P351" t="inlineStr">
        <is>
          <t>nyu</t>
        </is>
      </c>
      <c r="Q351" t="inlineStr">
        <is>
          <t>Perception and perceptual development ; v. 2</t>
        </is>
      </c>
      <c r="R351" t="inlineStr">
        <is>
          <t xml:space="preserve">BF </t>
        </is>
      </c>
      <c r="S351" t="n">
        <v>2</v>
      </c>
      <c r="T351" t="n">
        <v>2</v>
      </c>
      <c r="U351" t="inlineStr">
        <is>
          <t>2000-12-03</t>
        </is>
      </c>
      <c r="V351" t="inlineStr">
        <is>
          <t>2000-12-03</t>
        </is>
      </c>
      <c r="W351" t="inlineStr">
        <is>
          <t>1991-05-02</t>
        </is>
      </c>
      <c r="X351" t="inlineStr">
        <is>
          <t>1991-05-02</t>
        </is>
      </c>
      <c r="Y351" t="n">
        <v>338</v>
      </c>
      <c r="Z351" t="n">
        <v>248</v>
      </c>
      <c r="AA351" t="n">
        <v>270</v>
      </c>
      <c r="AB351" t="n">
        <v>4</v>
      </c>
      <c r="AC351" t="n">
        <v>4</v>
      </c>
      <c r="AD351" t="n">
        <v>11</v>
      </c>
      <c r="AE351" t="n">
        <v>11</v>
      </c>
      <c r="AF351" t="n">
        <v>0</v>
      </c>
      <c r="AG351" t="n">
        <v>0</v>
      </c>
      <c r="AH351" t="n">
        <v>2</v>
      </c>
      <c r="AI351" t="n">
        <v>2</v>
      </c>
      <c r="AJ351" t="n">
        <v>7</v>
      </c>
      <c r="AK351" t="n">
        <v>7</v>
      </c>
      <c r="AL351" t="n">
        <v>3</v>
      </c>
      <c r="AM351" t="n">
        <v>3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HYPERLINK("http://catalog.hathitrust.org/Record/000262748","HathiTrust Record")</f>
        <v/>
      </c>
      <c r="AS351">
        <f>HYPERLINK("https://creighton-primo.hosted.exlibrisgroup.com/primo-explore/search?tab=default_tab&amp;search_scope=EVERYTHING&amp;vid=01CRU&amp;lang=en_US&amp;offset=0&amp;query=any,contains,991005083369702656","Catalog Record")</f>
        <v/>
      </c>
      <c r="AT351">
        <f>HYPERLINK("http://www.worldcat.org/oclc/7176133","WorldCat Record")</f>
        <v/>
      </c>
      <c r="AU351" t="inlineStr">
        <is>
          <t>351751684:eng</t>
        </is>
      </c>
      <c r="AV351" t="inlineStr">
        <is>
          <t>7176133</t>
        </is>
      </c>
      <c r="AW351" t="inlineStr">
        <is>
          <t>991005083369702656</t>
        </is>
      </c>
      <c r="AX351" t="inlineStr">
        <is>
          <t>991005083369702656</t>
        </is>
      </c>
      <c r="AY351" t="inlineStr">
        <is>
          <t>2272733400002656</t>
        </is>
      </c>
      <c r="AZ351" t="inlineStr">
        <is>
          <t>BOOK</t>
        </is>
      </c>
      <c r="BB351" t="inlineStr">
        <is>
          <t>9780306406102</t>
        </is>
      </c>
      <c r="BC351" t="inlineStr">
        <is>
          <t>32285000600469</t>
        </is>
      </c>
      <c r="BD351" t="inlineStr">
        <is>
          <t>893437119</t>
        </is>
      </c>
    </row>
    <row r="352">
      <c r="A352" t="inlineStr">
        <is>
          <t>No</t>
        </is>
      </c>
      <c r="B352" t="inlineStr">
        <is>
          <t>BF311 .L29 1988</t>
        </is>
      </c>
      <c r="C352" t="inlineStr">
        <is>
          <t>0                      BF 0311000L  29          1988</t>
        </is>
      </c>
      <c r="D352" t="inlineStr">
        <is>
          <t>Cognition in practice : mind, mathematics, and culture in everyday life / Jean Lave.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Lave, Jean.</t>
        </is>
      </c>
      <c r="L352" t="inlineStr">
        <is>
          <t>Cambridge ; New York : Cambridge University Press, 1988.</t>
        </is>
      </c>
      <c r="M352" t="inlineStr">
        <is>
          <t>1988</t>
        </is>
      </c>
      <c r="O352" t="inlineStr">
        <is>
          <t>eng</t>
        </is>
      </c>
      <c r="P352" t="inlineStr">
        <is>
          <t>enk</t>
        </is>
      </c>
      <c r="R352" t="inlineStr">
        <is>
          <t xml:space="preserve">BF </t>
        </is>
      </c>
      <c r="S352" t="n">
        <v>5</v>
      </c>
      <c r="T352" t="n">
        <v>5</v>
      </c>
      <c r="U352" t="inlineStr">
        <is>
          <t>2005-04-19</t>
        </is>
      </c>
      <c r="V352" t="inlineStr">
        <is>
          <t>2005-04-19</t>
        </is>
      </c>
      <c r="W352" t="inlineStr">
        <is>
          <t>1991-06-04</t>
        </is>
      </c>
      <c r="X352" t="inlineStr">
        <is>
          <t>1991-06-04</t>
        </is>
      </c>
      <c r="Y352" t="n">
        <v>650</v>
      </c>
      <c r="Z352" t="n">
        <v>432</v>
      </c>
      <c r="AA352" t="n">
        <v>446</v>
      </c>
      <c r="AB352" t="n">
        <v>3</v>
      </c>
      <c r="AC352" t="n">
        <v>3</v>
      </c>
      <c r="AD352" t="n">
        <v>23</v>
      </c>
      <c r="AE352" t="n">
        <v>23</v>
      </c>
      <c r="AF352" t="n">
        <v>10</v>
      </c>
      <c r="AG352" t="n">
        <v>10</v>
      </c>
      <c r="AH352" t="n">
        <v>7</v>
      </c>
      <c r="AI352" t="n">
        <v>7</v>
      </c>
      <c r="AJ352" t="n">
        <v>12</v>
      </c>
      <c r="AK352" t="n">
        <v>12</v>
      </c>
      <c r="AL352" t="n">
        <v>2</v>
      </c>
      <c r="AM352" t="n">
        <v>2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HYPERLINK("https://creighton-primo.hosted.exlibrisgroup.com/primo-explore/search?tab=default_tab&amp;search_scope=EVERYTHING&amp;vid=01CRU&amp;lang=en_US&amp;offset=0&amp;query=any,contains,991001123679702656","Catalog Record")</f>
        <v/>
      </c>
      <c r="AT352">
        <f>HYPERLINK("http://www.worldcat.org/oclc/16645338","WorldCat Record")</f>
        <v/>
      </c>
      <c r="AU352" t="inlineStr">
        <is>
          <t>793465209:eng</t>
        </is>
      </c>
      <c r="AV352" t="inlineStr">
        <is>
          <t>16645338</t>
        </is>
      </c>
      <c r="AW352" t="inlineStr">
        <is>
          <t>991001123679702656</t>
        </is>
      </c>
      <c r="AX352" t="inlineStr">
        <is>
          <t>991001123679702656</t>
        </is>
      </c>
      <c r="AY352" t="inlineStr">
        <is>
          <t>2266887690002656</t>
        </is>
      </c>
      <c r="AZ352" t="inlineStr">
        <is>
          <t>BOOK</t>
        </is>
      </c>
      <c r="BB352" t="inlineStr">
        <is>
          <t>9780521357340</t>
        </is>
      </c>
      <c r="BC352" t="inlineStr">
        <is>
          <t>32285000591791</t>
        </is>
      </c>
      <c r="BD352" t="inlineStr">
        <is>
          <t>893256034</t>
        </is>
      </c>
    </row>
    <row r="353">
      <c r="A353" t="inlineStr">
        <is>
          <t>No</t>
        </is>
      </c>
      <c r="B353" t="inlineStr">
        <is>
          <t>BF311 .L8713</t>
        </is>
      </c>
      <c r="C353" t="inlineStr">
        <is>
          <t>0                      BF 0311000L  8713</t>
        </is>
      </c>
      <c r="D353" t="inlineStr">
        <is>
          <t>Cognitive development, its cultural and social foundations / A. R. Luria ; translated by Martin Lopez-Morillas and Lynn Solotaroff ; edited by Michael Cole.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Lurii︠a︡, A. R. (Aleksandr Romanovich), 1902-1977.</t>
        </is>
      </c>
      <c r="L353" t="inlineStr">
        <is>
          <t>Cambridge, Mass. : Harvard University Press, 1976.</t>
        </is>
      </c>
      <c r="M353" t="inlineStr">
        <is>
          <t>1976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BF </t>
        </is>
      </c>
      <c r="S353" t="n">
        <v>4</v>
      </c>
      <c r="T353" t="n">
        <v>4</v>
      </c>
      <c r="U353" t="inlineStr">
        <is>
          <t>1997-11-05</t>
        </is>
      </c>
      <c r="V353" t="inlineStr">
        <is>
          <t>1997-11-05</t>
        </is>
      </c>
      <c r="W353" t="inlineStr">
        <is>
          <t>1996-07-26</t>
        </is>
      </c>
      <c r="X353" t="inlineStr">
        <is>
          <t>1996-07-26</t>
        </is>
      </c>
      <c r="Y353" t="n">
        <v>937</v>
      </c>
      <c r="Z353" t="n">
        <v>758</v>
      </c>
      <c r="AA353" t="n">
        <v>764</v>
      </c>
      <c r="AB353" t="n">
        <v>4</v>
      </c>
      <c r="AC353" t="n">
        <v>4</v>
      </c>
      <c r="AD353" t="n">
        <v>40</v>
      </c>
      <c r="AE353" t="n">
        <v>40</v>
      </c>
      <c r="AF353" t="n">
        <v>17</v>
      </c>
      <c r="AG353" t="n">
        <v>17</v>
      </c>
      <c r="AH353" t="n">
        <v>11</v>
      </c>
      <c r="AI353" t="n">
        <v>11</v>
      </c>
      <c r="AJ353" t="n">
        <v>19</v>
      </c>
      <c r="AK353" t="n">
        <v>19</v>
      </c>
      <c r="AL353" t="n">
        <v>3</v>
      </c>
      <c r="AM353" t="n">
        <v>3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HYPERLINK("http://catalog.hathitrust.org/Record/000730882","HathiTrust Record")</f>
        <v/>
      </c>
      <c r="AS353">
        <f>HYPERLINK("https://creighton-primo.hosted.exlibrisgroup.com/primo-explore/search?tab=default_tab&amp;search_scope=EVERYTHING&amp;vid=01CRU&amp;lang=en_US&amp;offset=0&amp;query=any,contains,991004077809702656","Catalog Record")</f>
        <v/>
      </c>
      <c r="AT353">
        <f>HYPERLINK("http://www.worldcat.org/oclc/2318478","WorldCat Record")</f>
        <v/>
      </c>
      <c r="AU353" t="inlineStr">
        <is>
          <t>520969:eng</t>
        </is>
      </c>
      <c r="AV353" t="inlineStr">
        <is>
          <t>2318478</t>
        </is>
      </c>
      <c r="AW353" t="inlineStr">
        <is>
          <t>991004077809702656</t>
        </is>
      </c>
      <c r="AX353" t="inlineStr">
        <is>
          <t>991004077809702656</t>
        </is>
      </c>
      <c r="AY353" t="inlineStr">
        <is>
          <t>2266413490002656</t>
        </is>
      </c>
      <c r="AZ353" t="inlineStr">
        <is>
          <t>BOOK</t>
        </is>
      </c>
      <c r="BB353" t="inlineStr">
        <is>
          <t>9780674137318</t>
        </is>
      </c>
      <c r="BC353" t="inlineStr">
        <is>
          <t>32285002237971</t>
        </is>
      </c>
      <c r="BD353" t="inlineStr">
        <is>
          <t>893337309</t>
        </is>
      </c>
    </row>
    <row r="354">
      <c r="A354" t="inlineStr">
        <is>
          <t>No</t>
        </is>
      </c>
      <c r="B354" t="inlineStr">
        <is>
          <t>BF311 .M433 1984</t>
        </is>
      </c>
      <c r="C354" t="inlineStr">
        <is>
          <t>0                      BF 0311000M  433         1984</t>
        </is>
      </c>
      <c r="D354" t="inlineStr">
        <is>
          <t>Mechanisms of cognitive development / Robert J. Sternberg, editor.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L354" t="inlineStr">
        <is>
          <t>New York : W.H. Freeman, c1984.</t>
        </is>
      </c>
      <c r="M354" t="inlineStr">
        <is>
          <t>1984</t>
        </is>
      </c>
      <c r="O354" t="inlineStr">
        <is>
          <t>eng</t>
        </is>
      </c>
      <c r="P354" t="inlineStr">
        <is>
          <t>nyu</t>
        </is>
      </c>
      <c r="Q354" t="inlineStr">
        <is>
          <t>A Series of books in psychology</t>
        </is>
      </c>
      <c r="R354" t="inlineStr">
        <is>
          <t xml:space="preserve">BF </t>
        </is>
      </c>
      <c r="S354" t="n">
        <v>1</v>
      </c>
      <c r="T354" t="n">
        <v>1</v>
      </c>
      <c r="U354" t="inlineStr">
        <is>
          <t>2000-10-28</t>
        </is>
      </c>
      <c r="V354" t="inlineStr">
        <is>
          <t>2000-10-28</t>
        </is>
      </c>
      <c r="W354" t="inlineStr">
        <is>
          <t>1991-05-02</t>
        </is>
      </c>
      <c r="X354" t="inlineStr">
        <is>
          <t>1991-05-02</t>
        </is>
      </c>
      <c r="Y354" t="n">
        <v>475</v>
      </c>
      <c r="Z354" t="n">
        <v>343</v>
      </c>
      <c r="AA354" t="n">
        <v>388</v>
      </c>
      <c r="AB354" t="n">
        <v>4</v>
      </c>
      <c r="AC354" t="n">
        <v>4</v>
      </c>
      <c r="AD354" t="n">
        <v>15</v>
      </c>
      <c r="AE354" t="n">
        <v>18</v>
      </c>
      <c r="AF354" t="n">
        <v>1</v>
      </c>
      <c r="AG354" t="n">
        <v>3</v>
      </c>
      <c r="AH354" t="n">
        <v>6</v>
      </c>
      <c r="AI354" t="n">
        <v>6</v>
      </c>
      <c r="AJ354" t="n">
        <v>8</v>
      </c>
      <c r="AK354" t="n">
        <v>10</v>
      </c>
      <c r="AL354" t="n">
        <v>3</v>
      </c>
      <c r="AM354" t="n">
        <v>3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HYPERLINK("https://creighton-primo.hosted.exlibrisgroup.com/primo-explore/search?tab=default_tab&amp;search_scope=EVERYTHING&amp;vid=01CRU&amp;lang=en_US&amp;offset=0&amp;query=any,contains,991000378569702656","Catalog Record")</f>
        <v/>
      </c>
      <c r="AT354">
        <f>HYPERLINK("http://www.worldcat.org/oclc/10483388","WorldCat Record")</f>
        <v/>
      </c>
      <c r="AU354" t="inlineStr">
        <is>
          <t>54625828:eng</t>
        </is>
      </c>
      <c r="AV354" t="inlineStr">
        <is>
          <t>10483388</t>
        </is>
      </c>
      <c r="AW354" t="inlineStr">
        <is>
          <t>991000378569702656</t>
        </is>
      </c>
      <c r="AX354" t="inlineStr">
        <is>
          <t>991000378569702656</t>
        </is>
      </c>
      <c r="AY354" t="inlineStr">
        <is>
          <t>2263429430002656</t>
        </is>
      </c>
      <c r="AZ354" t="inlineStr">
        <is>
          <t>BOOK</t>
        </is>
      </c>
      <c r="BB354" t="inlineStr">
        <is>
          <t>9780716715962</t>
        </is>
      </c>
      <c r="BC354" t="inlineStr">
        <is>
          <t>32285000600535</t>
        </is>
      </c>
      <c r="BD354" t="inlineStr">
        <is>
          <t>893884331</t>
        </is>
      </c>
    </row>
    <row r="355">
      <c r="A355" t="inlineStr">
        <is>
          <t>No</t>
        </is>
      </c>
      <c r="B355" t="inlineStr">
        <is>
          <t>BF311 .M446 1983</t>
        </is>
      </c>
      <c r="C355" t="inlineStr">
        <is>
          <t>0                      BF 0311000M  446         1983</t>
        </is>
      </c>
      <c r="D355" t="inlineStr">
        <is>
          <t>Mental models / edited by Dedre Gentner, Albert L. Stevens.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Hillsdale, N.J. : L. Erlbaum Associates, 1983.</t>
        </is>
      </c>
      <c r="M355" t="inlineStr">
        <is>
          <t>1983</t>
        </is>
      </c>
      <c r="O355" t="inlineStr">
        <is>
          <t>eng</t>
        </is>
      </c>
      <c r="P355" t="inlineStr">
        <is>
          <t>nju</t>
        </is>
      </c>
      <c r="Q355" t="inlineStr">
        <is>
          <t>Cognitive science</t>
        </is>
      </c>
      <c r="R355" t="inlineStr">
        <is>
          <t xml:space="preserve">BF </t>
        </is>
      </c>
      <c r="S355" t="n">
        <v>4</v>
      </c>
      <c r="T355" t="n">
        <v>4</v>
      </c>
      <c r="U355" t="inlineStr">
        <is>
          <t>2003-09-30</t>
        </is>
      </c>
      <c r="V355" t="inlineStr">
        <is>
          <t>2003-09-30</t>
        </is>
      </c>
      <c r="W355" t="inlineStr">
        <is>
          <t>1990-05-04</t>
        </is>
      </c>
      <c r="X355" t="inlineStr">
        <is>
          <t>1990-05-04</t>
        </is>
      </c>
      <c r="Y355" t="n">
        <v>561</v>
      </c>
      <c r="Z355" t="n">
        <v>377</v>
      </c>
      <c r="AA355" t="n">
        <v>408</v>
      </c>
      <c r="AB355" t="n">
        <v>4</v>
      </c>
      <c r="AC355" t="n">
        <v>4</v>
      </c>
      <c r="AD355" t="n">
        <v>14</v>
      </c>
      <c r="AE355" t="n">
        <v>14</v>
      </c>
      <c r="AF355" t="n">
        <v>5</v>
      </c>
      <c r="AG355" t="n">
        <v>5</v>
      </c>
      <c r="AH355" t="n">
        <v>3</v>
      </c>
      <c r="AI355" t="n">
        <v>3</v>
      </c>
      <c r="AJ355" t="n">
        <v>8</v>
      </c>
      <c r="AK355" t="n">
        <v>8</v>
      </c>
      <c r="AL355" t="n">
        <v>3</v>
      </c>
      <c r="AM355" t="n">
        <v>3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HYPERLINK("https://creighton-primo.hosted.exlibrisgroup.com/primo-explore/search?tab=default_tab&amp;search_scope=EVERYTHING&amp;vid=01CRU&amp;lang=en_US&amp;offset=0&amp;query=any,contains,991000122999702656","Catalog Record")</f>
        <v/>
      </c>
      <c r="AT355">
        <f>HYPERLINK("http://www.worldcat.org/oclc/9081085","WorldCat Record")</f>
        <v/>
      </c>
      <c r="AU355" t="inlineStr">
        <is>
          <t>3372208404:eng</t>
        </is>
      </c>
      <c r="AV355" t="inlineStr">
        <is>
          <t>9081085</t>
        </is>
      </c>
      <c r="AW355" t="inlineStr">
        <is>
          <t>991000122999702656</t>
        </is>
      </c>
      <c r="AX355" t="inlineStr">
        <is>
          <t>991000122999702656</t>
        </is>
      </c>
      <c r="AY355" t="inlineStr">
        <is>
          <t>2255911050002656</t>
        </is>
      </c>
      <c r="AZ355" t="inlineStr">
        <is>
          <t>BOOK</t>
        </is>
      </c>
      <c r="BB355" t="inlineStr">
        <is>
          <t>9780898592429</t>
        </is>
      </c>
      <c r="BC355" t="inlineStr">
        <is>
          <t>32285000149004</t>
        </is>
      </c>
      <c r="BD355" t="inlineStr">
        <is>
          <t>893508529</t>
        </is>
      </c>
    </row>
    <row r="356">
      <c r="A356" t="inlineStr">
        <is>
          <t>No</t>
        </is>
      </c>
      <c r="B356" t="inlineStr">
        <is>
          <t>BF311 .M448</t>
        </is>
      </c>
      <c r="C356" t="inlineStr">
        <is>
          <t>0                      BF 0311000M  448</t>
        </is>
      </c>
      <c r="D356" t="inlineStr">
        <is>
          <t>The philosophy of consciousness without an object : reflections on the nature of transcendental consciousness / Franklin Merrel-Wolff.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Merrell-Wolff, Franklin.</t>
        </is>
      </c>
      <c r="L356" t="inlineStr">
        <is>
          <t>New York, Julian Press [1973]</t>
        </is>
      </c>
      <c r="M356" t="inlineStr">
        <is>
          <t>1973</t>
        </is>
      </c>
      <c r="O356" t="inlineStr">
        <is>
          <t>eng</t>
        </is>
      </c>
      <c r="P356" t="inlineStr">
        <is>
          <t>nyu</t>
        </is>
      </c>
      <c r="R356" t="inlineStr">
        <is>
          <t xml:space="preserve">BF </t>
        </is>
      </c>
      <c r="S356" t="n">
        <v>3</v>
      </c>
      <c r="T356" t="n">
        <v>3</v>
      </c>
      <c r="U356" t="inlineStr">
        <is>
          <t>2002-10-22</t>
        </is>
      </c>
      <c r="V356" t="inlineStr">
        <is>
          <t>2002-10-22</t>
        </is>
      </c>
      <c r="W356" t="inlineStr">
        <is>
          <t>1991-05-02</t>
        </is>
      </c>
      <c r="X356" t="inlineStr">
        <is>
          <t>1991-05-02</t>
        </is>
      </c>
      <c r="Y356" t="n">
        <v>191</v>
      </c>
      <c r="Z356" t="n">
        <v>156</v>
      </c>
      <c r="AA356" t="n">
        <v>178</v>
      </c>
      <c r="AB356" t="n">
        <v>2</v>
      </c>
      <c r="AC356" t="n">
        <v>3</v>
      </c>
      <c r="AD356" t="n">
        <v>6</v>
      </c>
      <c r="AE356" t="n">
        <v>8</v>
      </c>
      <c r="AF356" t="n">
        <v>2</v>
      </c>
      <c r="AG356" t="n">
        <v>2</v>
      </c>
      <c r="AH356" t="n">
        <v>0</v>
      </c>
      <c r="AI356" t="n">
        <v>1</v>
      </c>
      <c r="AJ356" t="n">
        <v>4</v>
      </c>
      <c r="AK356" t="n">
        <v>4</v>
      </c>
      <c r="AL356" t="n">
        <v>1</v>
      </c>
      <c r="AM356" t="n">
        <v>2</v>
      </c>
      <c r="AN356" t="n">
        <v>0</v>
      </c>
      <c r="AO356" t="n">
        <v>0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HYPERLINK("https://creighton-primo.hosted.exlibrisgroup.com/primo-explore/search?tab=default_tab&amp;search_scope=EVERYTHING&amp;vid=01CRU&amp;lang=en_US&amp;offset=0&amp;query=any,contains,991003239349702656","Catalog Record")</f>
        <v/>
      </c>
      <c r="AT356">
        <f>HYPERLINK("http://www.worldcat.org/oclc/762755","WorldCat Record")</f>
        <v/>
      </c>
      <c r="AU356" t="inlineStr">
        <is>
          <t>575413:eng</t>
        </is>
      </c>
      <c r="AV356" t="inlineStr">
        <is>
          <t>762755</t>
        </is>
      </c>
      <c r="AW356" t="inlineStr">
        <is>
          <t>991003239349702656</t>
        </is>
      </c>
      <c r="AX356" t="inlineStr">
        <is>
          <t>991003239349702656</t>
        </is>
      </c>
      <c r="AY356" t="inlineStr">
        <is>
          <t>2265273600002656</t>
        </is>
      </c>
      <c r="AZ356" t="inlineStr">
        <is>
          <t>BOOK</t>
        </is>
      </c>
      <c r="BC356" t="inlineStr">
        <is>
          <t>32285000600543</t>
        </is>
      </c>
      <c r="BD356" t="inlineStr">
        <is>
          <t>893416190</t>
        </is>
      </c>
    </row>
    <row r="357">
      <c r="A357" t="inlineStr">
        <is>
          <t>No</t>
        </is>
      </c>
      <c r="B357" t="inlineStr">
        <is>
          <t>BF311 .N43</t>
        </is>
      </c>
      <c r="C357" t="inlineStr">
        <is>
          <t>0                      BF 0311000N  43</t>
        </is>
      </c>
      <c r="D357" t="inlineStr">
        <is>
          <t>Cognition and reality : principles and implications of cognitive psychology / Ulric Neisser.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Neisser, Ulric.</t>
        </is>
      </c>
      <c r="L357" t="inlineStr">
        <is>
          <t>San Francisco : W. H. Freeman, c1976.</t>
        </is>
      </c>
      <c r="M357" t="inlineStr">
        <is>
          <t>1976</t>
        </is>
      </c>
      <c r="O357" t="inlineStr">
        <is>
          <t>eng</t>
        </is>
      </c>
      <c r="P357" t="inlineStr">
        <is>
          <t>cau</t>
        </is>
      </c>
      <c r="R357" t="inlineStr">
        <is>
          <t xml:space="preserve">BF </t>
        </is>
      </c>
      <c r="S357" t="n">
        <v>7</v>
      </c>
      <c r="T357" t="n">
        <v>7</v>
      </c>
      <c r="U357" t="inlineStr">
        <is>
          <t>1997-10-23</t>
        </is>
      </c>
      <c r="V357" t="inlineStr">
        <is>
          <t>1997-10-23</t>
        </is>
      </c>
      <c r="W357" t="inlineStr">
        <is>
          <t>1992-03-03</t>
        </is>
      </c>
      <c r="X357" t="inlineStr">
        <is>
          <t>1992-03-03</t>
        </is>
      </c>
      <c r="Y357" t="n">
        <v>1031</v>
      </c>
      <c r="Z357" t="n">
        <v>780</v>
      </c>
      <c r="AA357" t="n">
        <v>788</v>
      </c>
      <c r="AB357" t="n">
        <v>6</v>
      </c>
      <c r="AC357" t="n">
        <v>6</v>
      </c>
      <c r="AD357" t="n">
        <v>38</v>
      </c>
      <c r="AE357" t="n">
        <v>38</v>
      </c>
      <c r="AF357" t="n">
        <v>18</v>
      </c>
      <c r="AG357" t="n">
        <v>18</v>
      </c>
      <c r="AH357" t="n">
        <v>8</v>
      </c>
      <c r="AI357" t="n">
        <v>8</v>
      </c>
      <c r="AJ357" t="n">
        <v>16</v>
      </c>
      <c r="AK357" t="n">
        <v>16</v>
      </c>
      <c r="AL357" t="n">
        <v>5</v>
      </c>
      <c r="AM357" t="n">
        <v>5</v>
      </c>
      <c r="AN357" t="n">
        <v>0</v>
      </c>
      <c r="AO357" t="n">
        <v>0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HYPERLINK("https://creighton-primo.hosted.exlibrisgroup.com/primo-explore/search?tab=default_tab&amp;search_scope=EVERYTHING&amp;vid=01CRU&amp;lang=en_US&amp;offset=0&amp;query=any,contains,991004077789702656","Catalog Record")</f>
        <v/>
      </c>
      <c r="AT357">
        <f>HYPERLINK("http://www.worldcat.org/oclc/2318476","WorldCat Record")</f>
        <v/>
      </c>
      <c r="AU357" t="inlineStr">
        <is>
          <t>447066:eng</t>
        </is>
      </c>
      <c r="AV357" t="inlineStr">
        <is>
          <t>2318476</t>
        </is>
      </c>
      <c r="AW357" t="inlineStr">
        <is>
          <t>991004077789702656</t>
        </is>
      </c>
      <c r="AX357" t="inlineStr">
        <is>
          <t>991004077789702656</t>
        </is>
      </c>
      <c r="AY357" t="inlineStr">
        <is>
          <t>2266413930002656</t>
        </is>
      </c>
      <c r="AZ357" t="inlineStr">
        <is>
          <t>BOOK</t>
        </is>
      </c>
      <c r="BB357" t="inlineStr">
        <is>
          <t>9780716704782</t>
        </is>
      </c>
      <c r="BC357" t="inlineStr">
        <is>
          <t>32285000990803</t>
        </is>
      </c>
      <c r="BD357" t="inlineStr">
        <is>
          <t>893525631</t>
        </is>
      </c>
    </row>
    <row r="358">
      <c r="A358" t="inlineStr">
        <is>
          <t>No</t>
        </is>
      </c>
      <c r="B358" t="inlineStr">
        <is>
          <t>BF311 .N63 1984</t>
        </is>
      </c>
      <c r="C358" t="inlineStr">
        <is>
          <t>0                      BF 0311000N  63          1984</t>
        </is>
      </c>
      <c r="D358" t="inlineStr">
        <is>
          <t>Awakening the inner eye : intuition in education / Nel Noddings, Paul J. Shore.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Noddings, Nel.</t>
        </is>
      </c>
      <c r="L358" t="inlineStr">
        <is>
          <t>New York : Teachers College, Columbia University, 1984.</t>
        </is>
      </c>
      <c r="M358" t="inlineStr">
        <is>
          <t>1984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BF </t>
        </is>
      </c>
      <c r="S358" t="n">
        <v>6</v>
      </c>
      <c r="T358" t="n">
        <v>6</v>
      </c>
      <c r="U358" t="inlineStr">
        <is>
          <t>2001-06-15</t>
        </is>
      </c>
      <c r="V358" t="inlineStr">
        <is>
          <t>2001-06-15</t>
        </is>
      </c>
      <c r="W358" t="inlineStr">
        <is>
          <t>1990-04-20</t>
        </is>
      </c>
      <c r="X358" t="inlineStr">
        <is>
          <t>1990-04-20</t>
        </is>
      </c>
      <c r="Y358" t="n">
        <v>717</v>
      </c>
      <c r="Z358" t="n">
        <v>645</v>
      </c>
      <c r="AA358" t="n">
        <v>668</v>
      </c>
      <c r="AB358" t="n">
        <v>4</v>
      </c>
      <c r="AC358" t="n">
        <v>4</v>
      </c>
      <c r="AD358" t="n">
        <v>30</v>
      </c>
      <c r="AE358" t="n">
        <v>30</v>
      </c>
      <c r="AF358" t="n">
        <v>14</v>
      </c>
      <c r="AG358" t="n">
        <v>14</v>
      </c>
      <c r="AH358" t="n">
        <v>5</v>
      </c>
      <c r="AI358" t="n">
        <v>5</v>
      </c>
      <c r="AJ358" t="n">
        <v>12</v>
      </c>
      <c r="AK358" t="n">
        <v>12</v>
      </c>
      <c r="AL358" t="n">
        <v>3</v>
      </c>
      <c r="AM358" t="n">
        <v>3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HYPERLINK("https://creighton-primo.hosted.exlibrisgroup.com/primo-explore/search?tab=default_tab&amp;search_scope=EVERYTHING&amp;vid=01CRU&amp;lang=en_US&amp;offset=0&amp;query=any,contains,991000316029702656","Catalog Record")</f>
        <v/>
      </c>
      <c r="AT358">
        <f>HYPERLINK("http://www.worldcat.org/oclc/10121955","WorldCat Record")</f>
        <v/>
      </c>
      <c r="AU358" t="inlineStr">
        <is>
          <t>3182641:eng</t>
        </is>
      </c>
      <c r="AV358" t="inlineStr">
        <is>
          <t>10121955</t>
        </is>
      </c>
      <c r="AW358" t="inlineStr">
        <is>
          <t>991000316029702656</t>
        </is>
      </c>
      <c r="AX358" t="inlineStr">
        <is>
          <t>991000316029702656</t>
        </is>
      </c>
      <c r="AY358" t="inlineStr">
        <is>
          <t>2267146780002656</t>
        </is>
      </c>
      <c r="AZ358" t="inlineStr">
        <is>
          <t>BOOK</t>
        </is>
      </c>
      <c r="BB358" t="inlineStr">
        <is>
          <t>9780807727515</t>
        </is>
      </c>
      <c r="BC358" t="inlineStr">
        <is>
          <t>32285000123876</t>
        </is>
      </c>
      <c r="BD358" t="inlineStr">
        <is>
          <t>893521567</t>
        </is>
      </c>
    </row>
    <row r="359">
      <c r="A359" t="inlineStr">
        <is>
          <t>No</t>
        </is>
      </c>
      <c r="B359" t="inlineStr">
        <is>
          <t>BF311 .N69 1986</t>
        </is>
      </c>
      <c r="C359" t="inlineStr">
        <is>
          <t>0                      BF 0311000N  69          1986</t>
        </is>
      </c>
      <c r="D359" t="inlineStr">
        <is>
          <t>Cognitive sciences : basic problems, new perspectives, and implications for artificial intelligence / Maria Nowakowska.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Nowakowska, Maria.</t>
        </is>
      </c>
      <c r="L359" t="inlineStr">
        <is>
          <t>Orlando : Academic Press, 1986.</t>
        </is>
      </c>
      <c r="M359" t="inlineStr">
        <is>
          <t>1986</t>
        </is>
      </c>
      <c r="O359" t="inlineStr">
        <is>
          <t>eng</t>
        </is>
      </c>
      <c r="P359" t="inlineStr">
        <is>
          <t>flu</t>
        </is>
      </c>
      <c r="R359" t="inlineStr">
        <is>
          <t xml:space="preserve">BF </t>
        </is>
      </c>
      <c r="S359" t="n">
        <v>2</v>
      </c>
      <c r="T359" t="n">
        <v>2</v>
      </c>
      <c r="U359" t="inlineStr">
        <is>
          <t>1992-04-22</t>
        </is>
      </c>
      <c r="V359" t="inlineStr">
        <is>
          <t>1992-04-22</t>
        </is>
      </c>
      <c r="W359" t="inlineStr">
        <is>
          <t>1991-05-02</t>
        </is>
      </c>
      <c r="X359" t="inlineStr">
        <is>
          <t>1991-05-02</t>
        </is>
      </c>
      <c r="Y359" t="n">
        <v>349</v>
      </c>
      <c r="Z359" t="n">
        <v>241</v>
      </c>
      <c r="AA359" t="n">
        <v>281</v>
      </c>
      <c r="AB359" t="n">
        <v>3</v>
      </c>
      <c r="AC359" t="n">
        <v>3</v>
      </c>
      <c r="AD359" t="n">
        <v>10</v>
      </c>
      <c r="AE359" t="n">
        <v>12</v>
      </c>
      <c r="AF359" t="n">
        <v>2</v>
      </c>
      <c r="AG359" t="n">
        <v>3</v>
      </c>
      <c r="AH359" t="n">
        <v>3</v>
      </c>
      <c r="AI359" t="n">
        <v>4</v>
      </c>
      <c r="AJ359" t="n">
        <v>7</v>
      </c>
      <c r="AK359" t="n">
        <v>7</v>
      </c>
      <c r="AL359" t="n">
        <v>2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HYPERLINK("http://catalog.hathitrust.org/Record/000478880","HathiTrust Record")</f>
        <v/>
      </c>
      <c r="AS359">
        <f>HYPERLINK("https://creighton-primo.hosted.exlibrisgroup.com/primo-explore/search?tab=default_tab&amp;search_scope=EVERYTHING&amp;vid=01CRU&amp;lang=en_US&amp;offset=0&amp;query=any,contains,991000213519702656","Catalog Record")</f>
        <v/>
      </c>
      <c r="AT359">
        <f>HYPERLINK("http://www.worldcat.org/oclc/9556591","WorldCat Record")</f>
        <v/>
      </c>
      <c r="AU359" t="inlineStr">
        <is>
          <t>19806646:eng</t>
        </is>
      </c>
      <c r="AV359" t="inlineStr">
        <is>
          <t>9556591</t>
        </is>
      </c>
      <c r="AW359" t="inlineStr">
        <is>
          <t>991000213519702656</t>
        </is>
      </c>
      <c r="AX359" t="inlineStr">
        <is>
          <t>991000213519702656</t>
        </is>
      </c>
      <c r="AY359" t="inlineStr">
        <is>
          <t>2265523880002656</t>
        </is>
      </c>
      <c r="AZ359" t="inlineStr">
        <is>
          <t>BOOK</t>
        </is>
      </c>
      <c r="BB359" t="inlineStr">
        <is>
          <t>9780125226219</t>
        </is>
      </c>
      <c r="BC359" t="inlineStr">
        <is>
          <t>32285000600634</t>
        </is>
      </c>
      <c r="BD359" t="inlineStr">
        <is>
          <t>893802601</t>
        </is>
      </c>
    </row>
    <row r="360">
      <c r="A360" t="inlineStr">
        <is>
          <t>No</t>
        </is>
      </c>
      <c r="B360" t="inlineStr">
        <is>
          <t>BF311 .O57 1978</t>
        </is>
      </c>
      <c r="C360" t="inlineStr">
        <is>
          <t>0                      BF 0311000O  57          1978</t>
        </is>
      </c>
      <c r="D360" t="inlineStr">
        <is>
          <t>Social cognition : the Ontario Symposium, vol. 1 / edited by E. Tory Higgins, C. Peter Herman, Mark P. Zanna.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Ontario Symposium on Personality and Social Psychology (1st : 1978 : University of Western Ontario)</t>
        </is>
      </c>
      <c r="L360" t="inlineStr">
        <is>
          <t>Hillsdale, N.J. : L. Erlbaum Associates, 1981.</t>
        </is>
      </c>
      <c r="M360" t="inlineStr">
        <is>
          <t>1981</t>
        </is>
      </c>
      <c r="O360" t="inlineStr">
        <is>
          <t>eng</t>
        </is>
      </c>
      <c r="P360" t="inlineStr">
        <is>
          <t>nju</t>
        </is>
      </c>
      <c r="R360" t="inlineStr">
        <is>
          <t xml:space="preserve">BF </t>
        </is>
      </c>
      <c r="S360" t="n">
        <v>3</v>
      </c>
      <c r="T360" t="n">
        <v>3</v>
      </c>
      <c r="U360" t="inlineStr">
        <is>
          <t>2004-06-30</t>
        </is>
      </c>
      <c r="V360" t="inlineStr">
        <is>
          <t>2004-06-30</t>
        </is>
      </c>
      <c r="W360" t="inlineStr">
        <is>
          <t>1991-05-02</t>
        </is>
      </c>
      <c r="X360" t="inlineStr">
        <is>
          <t>1991-05-02</t>
        </is>
      </c>
      <c r="Y360" t="n">
        <v>345</v>
      </c>
      <c r="Z360" t="n">
        <v>266</v>
      </c>
      <c r="AA360" t="n">
        <v>285</v>
      </c>
      <c r="AB360" t="n">
        <v>1</v>
      </c>
      <c r="AC360" t="n">
        <v>1</v>
      </c>
      <c r="AD360" t="n">
        <v>10</v>
      </c>
      <c r="AE360" t="n">
        <v>12</v>
      </c>
      <c r="AF360" t="n">
        <v>3</v>
      </c>
      <c r="AG360" t="n">
        <v>3</v>
      </c>
      <c r="AH360" t="n">
        <v>1</v>
      </c>
      <c r="AI360" t="n">
        <v>3</v>
      </c>
      <c r="AJ360" t="n">
        <v>9</v>
      </c>
      <c r="AK360" t="n">
        <v>10</v>
      </c>
      <c r="AL360" t="n">
        <v>0</v>
      </c>
      <c r="AM360" t="n">
        <v>0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HYPERLINK("http://catalog.hathitrust.org/Record/000130216","HathiTrust Record")</f>
        <v/>
      </c>
      <c r="AS360">
        <f>HYPERLINK("https://creighton-primo.hosted.exlibrisgroup.com/primo-explore/search?tab=default_tab&amp;search_scope=EVERYTHING&amp;vid=01CRU&amp;lang=en_US&amp;offset=0&amp;query=any,contains,991005079269702656","Catalog Record")</f>
        <v/>
      </c>
      <c r="AT360">
        <f>HYPERLINK("http://www.worldcat.org/oclc/7169337","WorldCat Record")</f>
        <v/>
      </c>
      <c r="AU360" t="inlineStr">
        <is>
          <t>554358:eng</t>
        </is>
      </c>
      <c r="AV360" t="inlineStr">
        <is>
          <t>7169337</t>
        </is>
      </c>
      <c r="AW360" t="inlineStr">
        <is>
          <t>991005079269702656</t>
        </is>
      </c>
      <c r="AX360" t="inlineStr">
        <is>
          <t>991005079269702656</t>
        </is>
      </c>
      <c r="AY360" t="inlineStr">
        <is>
          <t>2268689980002656</t>
        </is>
      </c>
      <c r="AZ360" t="inlineStr">
        <is>
          <t>BOOK</t>
        </is>
      </c>
      <c r="BB360" t="inlineStr">
        <is>
          <t>9780898590494</t>
        </is>
      </c>
      <c r="BC360" t="inlineStr">
        <is>
          <t>32285000600659</t>
        </is>
      </c>
      <c r="BD360" t="inlineStr">
        <is>
          <t>893526860</t>
        </is>
      </c>
    </row>
    <row r="361">
      <c r="A361" t="inlineStr">
        <is>
          <t>No</t>
        </is>
      </c>
      <c r="B361" t="inlineStr">
        <is>
          <t>BF311 .O75 1977</t>
        </is>
      </c>
      <c r="C361" t="inlineStr">
        <is>
          <t>0                      BF 0311000O  75          1977</t>
        </is>
      </c>
      <c r="D361" t="inlineStr">
        <is>
          <t>The psychology of consciousness / Robert E. Ornstein.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Ornstein, Robert E. (Robert Evan), 1942-</t>
        </is>
      </c>
      <c r="L361" t="inlineStr">
        <is>
          <t>New York : Harcourt Brace Jovanovich, c1977.</t>
        </is>
      </c>
      <c r="M361" t="inlineStr">
        <is>
          <t>1977</t>
        </is>
      </c>
      <c r="N361" t="inlineStr">
        <is>
          <t>2d ed.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BF </t>
        </is>
      </c>
      <c r="S361" t="n">
        <v>3</v>
      </c>
      <c r="T361" t="n">
        <v>3</v>
      </c>
      <c r="U361" t="inlineStr">
        <is>
          <t>2004-11-30</t>
        </is>
      </c>
      <c r="V361" t="inlineStr">
        <is>
          <t>2004-11-30</t>
        </is>
      </c>
      <c r="W361" t="inlineStr">
        <is>
          <t>1992-03-18</t>
        </is>
      </c>
      <c r="X361" t="inlineStr">
        <is>
          <t>1992-03-18</t>
        </is>
      </c>
      <c r="Y361" t="n">
        <v>818</v>
      </c>
      <c r="Z361" t="n">
        <v>671</v>
      </c>
      <c r="AA361" t="n">
        <v>1498</v>
      </c>
      <c r="AB361" t="n">
        <v>6</v>
      </c>
      <c r="AC361" t="n">
        <v>8</v>
      </c>
      <c r="AD361" t="n">
        <v>24</v>
      </c>
      <c r="AE361" t="n">
        <v>44</v>
      </c>
      <c r="AF361" t="n">
        <v>11</v>
      </c>
      <c r="AG361" t="n">
        <v>21</v>
      </c>
      <c r="AH361" t="n">
        <v>6</v>
      </c>
      <c r="AI361" t="n">
        <v>10</v>
      </c>
      <c r="AJ361" t="n">
        <v>12</v>
      </c>
      <c r="AK361" t="n">
        <v>22</v>
      </c>
      <c r="AL361" t="n">
        <v>2</v>
      </c>
      <c r="AM361" t="n">
        <v>3</v>
      </c>
      <c r="AN361" t="n">
        <v>0</v>
      </c>
      <c r="AO361" t="n">
        <v>1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HYPERLINK("http://catalog.hathitrust.org/Record/006233826","HathiTrust Record")</f>
        <v/>
      </c>
      <c r="AS361">
        <f>HYPERLINK("https://creighton-primo.hosted.exlibrisgroup.com/primo-explore/search?tab=default_tab&amp;search_scope=EVERYTHING&amp;vid=01CRU&amp;lang=en_US&amp;offset=0&amp;query=any,contains,991004379639702656","Catalog Record")</f>
        <v/>
      </c>
      <c r="AT361">
        <f>HYPERLINK("http://www.worldcat.org/oclc/3215061","WorldCat Record")</f>
        <v/>
      </c>
      <c r="AU361" t="inlineStr">
        <is>
          <t>413877:eng</t>
        </is>
      </c>
      <c r="AV361" t="inlineStr">
        <is>
          <t>3215061</t>
        </is>
      </c>
      <c r="AW361" t="inlineStr">
        <is>
          <t>991004379639702656</t>
        </is>
      </c>
      <c r="AX361" t="inlineStr">
        <is>
          <t>991004379639702656</t>
        </is>
      </c>
      <c r="AY361" t="inlineStr">
        <is>
          <t>2257423480002656</t>
        </is>
      </c>
      <c r="AZ361" t="inlineStr">
        <is>
          <t>BOOK</t>
        </is>
      </c>
      <c r="BB361" t="inlineStr">
        <is>
          <t>9780155730823</t>
        </is>
      </c>
      <c r="BC361" t="inlineStr">
        <is>
          <t>32285000529148</t>
        </is>
      </c>
      <c r="BD361" t="inlineStr">
        <is>
          <t>893718838</t>
        </is>
      </c>
    </row>
    <row r="362">
      <c r="A362" t="inlineStr">
        <is>
          <t>No</t>
        </is>
      </c>
      <c r="B362" t="inlineStr">
        <is>
          <t>BF311 .P3133 1989</t>
        </is>
      </c>
      <c r="C362" t="inlineStr">
        <is>
          <t>0                      BF 0311000P  3133        1989</t>
        </is>
      </c>
      <c r="D362" t="inlineStr">
        <is>
          <t>Parallel distributed processing : implications for psychology and neurobiology / edited by R.G.M. Morris.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L362" t="inlineStr">
        <is>
          <t>Oxford : Clarendon Press ; Oxford ; New York : Oxford University Press, 1989.</t>
        </is>
      </c>
      <c r="M362" t="inlineStr">
        <is>
          <t>1989</t>
        </is>
      </c>
      <c r="O362" t="inlineStr">
        <is>
          <t>eng</t>
        </is>
      </c>
      <c r="P362" t="inlineStr">
        <is>
          <t>enk</t>
        </is>
      </c>
      <c r="Q362" t="inlineStr">
        <is>
          <t>Oxford science publications</t>
        </is>
      </c>
      <c r="R362" t="inlineStr">
        <is>
          <t xml:space="preserve">BF </t>
        </is>
      </c>
      <c r="S362" t="n">
        <v>2</v>
      </c>
      <c r="T362" t="n">
        <v>2</v>
      </c>
      <c r="U362" t="inlineStr">
        <is>
          <t>1996-11-13</t>
        </is>
      </c>
      <c r="V362" t="inlineStr">
        <is>
          <t>1996-11-13</t>
        </is>
      </c>
      <c r="W362" t="inlineStr">
        <is>
          <t>1992-08-31</t>
        </is>
      </c>
      <c r="X362" t="inlineStr">
        <is>
          <t>1992-08-31</t>
        </is>
      </c>
      <c r="Y362" t="n">
        <v>303</v>
      </c>
      <c r="Z362" t="n">
        <v>199</v>
      </c>
      <c r="AA362" t="n">
        <v>207</v>
      </c>
      <c r="AB362" t="n">
        <v>3</v>
      </c>
      <c r="AC362" t="n">
        <v>3</v>
      </c>
      <c r="AD362" t="n">
        <v>10</v>
      </c>
      <c r="AE362" t="n">
        <v>10</v>
      </c>
      <c r="AF362" t="n">
        <v>1</v>
      </c>
      <c r="AG362" t="n">
        <v>1</v>
      </c>
      <c r="AH362" t="n">
        <v>4</v>
      </c>
      <c r="AI362" t="n">
        <v>4</v>
      </c>
      <c r="AJ362" t="n">
        <v>5</v>
      </c>
      <c r="AK362" t="n">
        <v>5</v>
      </c>
      <c r="AL362" t="n">
        <v>2</v>
      </c>
      <c r="AM362" t="n">
        <v>2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HYPERLINK("http://catalog.hathitrust.org/Record/001833951","HathiTrust Record")</f>
        <v/>
      </c>
      <c r="AS362">
        <f>HYPERLINK("https://creighton-primo.hosted.exlibrisgroup.com/primo-explore/search?tab=default_tab&amp;search_scope=EVERYTHING&amp;vid=01CRU&amp;lang=en_US&amp;offset=0&amp;query=any,contains,991001508439702656","Catalog Record")</f>
        <v/>
      </c>
      <c r="AT362">
        <f>HYPERLINK("http://www.worldcat.org/oclc/19850358","WorldCat Record")</f>
        <v/>
      </c>
      <c r="AU362" t="inlineStr">
        <is>
          <t>795527215:eng</t>
        </is>
      </c>
      <c r="AV362" t="inlineStr">
        <is>
          <t>19850358</t>
        </is>
      </c>
      <c r="AW362" t="inlineStr">
        <is>
          <t>991001508439702656</t>
        </is>
      </c>
      <c r="AX362" t="inlineStr">
        <is>
          <t>991001508439702656</t>
        </is>
      </c>
      <c r="AY362" t="inlineStr">
        <is>
          <t>2271750600002656</t>
        </is>
      </c>
      <c r="AZ362" t="inlineStr">
        <is>
          <t>BOOK</t>
        </is>
      </c>
      <c r="BB362" t="inlineStr">
        <is>
          <t>9780198521785</t>
        </is>
      </c>
      <c r="BC362" t="inlineStr">
        <is>
          <t>32285001199701</t>
        </is>
      </c>
      <c r="BD362" t="inlineStr">
        <is>
          <t>893785147</t>
        </is>
      </c>
    </row>
    <row r="363">
      <c r="A363" t="inlineStr">
        <is>
          <t>No</t>
        </is>
      </c>
      <c r="B363" t="inlineStr">
        <is>
          <t>BF311 .P316 1986</t>
        </is>
      </c>
      <c r="C363" t="inlineStr">
        <is>
          <t>0                      BF 0311000P  316         1986</t>
        </is>
      </c>
      <c r="D363" t="inlineStr">
        <is>
          <t>Pattern recognition by humans and machines / edited by Eileen C. Schwab, Howard C. Nusbaum.</t>
        </is>
      </c>
      <c r="E363" t="inlineStr">
        <is>
          <t>V.1</t>
        </is>
      </c>
      <c r="F363" t="inlineStr">
        <is>
          <t>Yes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L363" t="inlineStr">
        <is>
          <t>Orlando, Fla. : Academic Press, 1986.</t>
        </is>
      </c>
      <c r="M363" t="inlineStr">
        <is>
          <t>1986</t>
        </is>
      </c>
      <c r="O363" t="inlineStr">
        <is>
          <t>eng</t>
        </is>
      </c>
      <c r="P363" t="inlineStr">
        <is>
          <t>flu</t>
        </is>
      </c>
      <c r="Q363" t="inlineStr">
        <is>
          <t>Academic Press series in cognition and perception</t>
        </is>
      </c>
      <c r="R363" t="inlineStr">
        <is>
          <t xml:space="preserve">BF </t>
        </is>
      </c>
      <c r="S363" t="n">
        <v>0</v>
      </c>
      <c r="T363" t="n">
        <v>2</v>
      </c>
      <c r="V363" t="inlineStr">
        <is>
          <t>1996-09-23</t>
        </is>
      </c>
      <c r="W363" t="inlineStr">
        <is>
          <t>1991-05-02</t>
        </is>
      </c>
      <c r="X363" t="inlineStr">
        <is>
          <t>1995-08-03</t>
        </is>
      </c>
      <c r="Y363" t="n">
        <v>405</v>
      </c>
      <c r="Z363" t="n">
        <v>284</v>
      </c>
      <c r="AA363" t="n">
        <v>304</v>
      </c>
      <c r="AB363" t="n">
        <v>3</v>
      </c>
      <c r="AC363" t="n">
        <v>3</v>
      </c>
      <c r="AD363" t="n">
        <v>12</v>
      </c>
      <c r="AE363" t="n">
        <v>14</v>
      </c>
      <c r="AF363" t="n">
        <v>0</v>
      </c>
      <c r="AG363" t="n">
        <v>1</v>
      </c>
      <c r="AH363" t="n">
        <v>5</v>
      </c>
      <c r="AI363" t="n">
        <v>6</v>
      </c>
      <c r="AJ363" t="n">
        <v>8</v>
      </c>
      <c r="AK363" t="n">
        <v>8</v>
      </c>
      <c r="AL363" t="n">
        <v>2</v>
      </c>
      <c r="AM363" t="n">
        <v>2</v>
      </c>
      <c r="AN363" t="n">
        <v>0</v>
      </c>
      <c r="AO363" t="n">
        <v>0</v>
      </c>
      <c r="AP363" t="inlineStr">
        <is>
          <t>No</t>
        </is>
      </c>
      <c r="AQ363" t="inlineStr">
        <is>
          <t>Yes</t>
        </is>
      </c>
      <c r="AR363">
        <f>HYPERLINK("http://catalog.hathitrust.org/Record/000632032","HathiTrust Record")</f>
        <v/>
      </c>
      <c r="AS363">
        <f>HYPERLINK("https://creighton-primo.hosted.exlibrisgroup.com/primo-explore/search?tab=default_tab&amp;search_scope=EVERYTHING&amp;vid=01CRU&amp;lang=en_US&amp;offset=0&amp;query=any,contains,991000713899702656","Catalog Record")</f>
        <v/>
      </c>
      <c r="AT363">
        <f>HYPERLINK("http://www.worldcat.org/oclc/12613429","WorldCat Record")</f>
        <v/>
      </c>
      <c r="AU363" t="inlineStr">
        <is>
          <t>10628096989:eng</t>
        </is>
      </c>
      <c r="AV363" t="inlineStr">
        <is>
          <t>12613429</t>
        </is>
      </c>
      <c r="AW363" t="inlineStr">
        <is>
          <t>991000713899702656</t>
        </is>
      </c>
      <c r="AX363" t="inlineStr">
        <is>
          <t>991000713899702656</t>
        </is>
      </c>
      <c r="AY363" t="inlineStr">
        <is>
          <t>2260509590002656</t>
        </is>
      </c>
      <c r="AZ363" t="inlineStr">
        <is>
          <t>BOOK</t>
        </is>
      </c>
      <c r="BB363" t="inlineStr">
        <is>
          <t>9780126314038</t>
        </is>
      </c>
      <c r="BC363" t="inlineStr">
        <is>
          <t>32285000600667</t>
        </is>
      </c>
      <c r="BD363" t="inlineStr">
        <is>
          <t>893778170</t>
        </is>
      </c>
    </row>
    <row r="364">
      <c r="A364" t="inlineStr">
        <is>
          <t>No</t>
        </is>
      </c>
      <c r="B364" t="inlineStr">
        <is>
          <t>BF311 .P316 1986</t>
        </is>
      </c>
      <c r="C364" t="inlineStr">
        <is>
          <t>0                      BF 0311000P  316         1986</t>
        </is>
      </c>
      <c r="D364" t="inlineStr">
        <is>
          <t>Pattern recognition by humans and machines / edited by Eileen C. Schwab, Howard C. Nusbaum.</t>
        </is>
      </c>
      <c r="E364" t="inlineStr">
        <is>
          <t>V.2</t>
        </is>
      </c>
      <c r="F364" t="inlineStr">
        <is>
          <t>Yes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L364" t="inlineStr">
        <is>
          <t>Orlando, Fla. : Academic Press, 1986.</t>
        </is>
      </c>
      <c r="M364" t="inlineStr">
        <is>
          <t>1986</t>
        </is>
      </c>
      <c r="O364" t="inlineStr">
        <is>
          <t>eng</t>
        </is>
      </c>
      <c r="P364" t="inlineStr">
        <is>
          <t>flu</t>
        </is>
      </c>
      <c r="Q364" t="inlineStr">
        <is>
          <t>Academic Press series in cognition and perception</t>
        </is>
      </c>
      <c r="R364" t="inlineStr">
        <is>
          <t xml:space="preserve">BF </t>
        </is>
      </c>
      <c r="S364" t="n">
        <v>2</v>
      </c>
      <c r="T364" t="n">
        <v>2</v>
      </c>
      <c r="U364" t="inlineStr">
        <is>
          <t>1996-09-23</t>
        </is>
      </c>
      <c r="V364" t="inlineStr">
        <is>
          <t>1996-09-23</t>
        </is>
      </c>
      <c r="W364" t="inlineStr">
        <is>
          <t>1995-08-03</t>
        </is>
      </c>
      <c r="X364" t="inlineStr">
        <is>
          <t>1995-08-03</t>
        </is>
      </c>
      <c r="Y364" t="n">
        <v>405</v>
      </c>
      <c r="Z364" t="n">
        <v>284</v>
      </c>
      <c r="AA364" t="n">
        <v>304</v>
      </c>
      <c r="AB364" t="n">
        <v>3</v>
      </c>
      <c r="AC364" t="n">
        <v>3</v>
      </c>
      <c r="AD364" t="n">
        <v>12</v>
      </c>
      <c r="AE364" t="n">
        <v>14</v>
      </c>
      <c r="AF364" t="n">
        <v>0</v>
      </c>
      <c r="AG364" t="n">
        <v>1</v>
      </c>
      <c r="AH364" t="n">
        <v>5</v>
      </c>
      <c r="AI364" t="n">
        <v>6</v>
      </c>
      <c r="AJ364" t="n">
        <v>8</v>
      </c>
      <c r="AK364" t="n">
        <v>8</v>
      </c>
      <c r="AL364" t="n">
        <v>2</v>
      </c>
      <c r="AM364" t="n">
        <v>2</v>
      </c>
      <c r="AN364" t="n">
        <v>0</v>
      </c>
      <c r="AO364" t="n">
        <v>0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HYPERLINK("http://catalog.hathitrust.org/Record/000632032","HathiTrust Record")</f>
        <v/>
      </c>
      <c r="AS364">
        <f>HYPERLINK("https://creighton-primo.hosted.exlibrisgroup.com/primo-explore/search?tab=default_tab&amp;search_scope=EVERYTHING&amp;vid=01CRU&amp;lang=en_US&amp;offset=0&amp;query=any,contains,991000713899702656","Catalog Record")</f>
        <v/>
      </c>
      <c r="AT364">
        <f>HYPERLINK("http://www.worldcat.org/oclc/12613429","WorldCat Record")</f>
        <v/>
      </c>
      <c r="AU364" t="inlineStr">
        <is>
          <t>10628096989:eng</t>
        </is>
      </c>
      <c r="AV364" t="inlineStr">
        <is>
          <t>12613429</t>
        </is>
      </c>
      <c r="AW364" t="inlineStr">
        <is>
          <t>991000713899702656</t>
        </is>
      </c>
      <c r="AX364" t="inlineStr">
        <is>
          <t>991000713899702656</t>
        </is>
      </c>
      <c r="AY364" t="inlineStr">
        <is>
          <t>2260509590002656</t>
        </is>
      </c>
      <c r="AZ364" t="inlineStr">
        <is>
          <t>BOOK</t>
        </is>
      </c>
      <c r="BB364" t="inlineStr">
        <is>
          <t>9780126314038</t>
        </is>
      </c>
      <c r="BC364" t="inlineStr">
        <is>
          <t>32285002061538</t>
        </is>
      </c>
      <c r="BD364" t="inlineStr">
        <is>
          <t>893784457</t>
        </is>
      </c>
    </row>
    <row r="365">
      <c r="A365" t="inlineStr">
        <is>
          <t>No</t>
        </is>
      </c>
      <c r="B365" t="inlineStr">
        <is>
          <t>BF311 .P51813</t>
        </is>
      </c>
      <c r="C365" t="inlineStr">
        <is>
          <t>0                      BF 0311000P  51813</t>
        </is>
      </c>
      <c r="D365" t="inlineStr">
        <is>
          <t>Experiments in contradiction / Jean Piaget ; translated by Derek Coltman ; with a foreword by Terrance A. Brown.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Piaget, Jean, 1896-1980.</t>
        </is>
      </c>
      <c r="L365" t="inlineStr">
        <is>
          <t>Chicago : University of Chicago Press, c1980.</t>
        </is>
      </c>
      <c r="M365" t="inlineStr">
        <is>
          <t>1980</t>
        </is>
      </c>
      <c r="O365" t="inlineStr">
        <is>
          <t>eng</t>
        </is>
      </c>
      <c r="P365" t="inlineStr">
        <is>
          <t>ilu</t>
        </is>
      </c>
      <c r="R365" t="inlineStr">
        <is>
          <t xml:space="preserve">BF </t>
        </is>
      </c>
      <c r="S365" t="n">
        <v>3</v>
      </c>
      <c r="T365" t="n">
        <v>3</v>
      </c>
      <c r="U365" t="inlineStr">
        <is>
          <t>1994-11-09</t>
        </is>
      </c>
      <c r="V365" t="inlineStr">
        <is>
          <t>1994-11-09</t>
        </is>
      </c>
      <c r="W365" t="inlineStr">
        <is>
          <t>1991-05-02</t>
        </is>
      </c>
      <c r="X365" t="inlineStr">
        <is>
          <t>1991-05-02</t>
        </is>
      </c>
      <c r="Y365" t="n">
        <v>798</v>
      </c>
      <c r="Z365" t="n">
        <v>683</v>
      </c>
      <c r="AA365" t="n">
        <v>686</v>
      </c>
      <c r="AB365" t="n">
        <v>4</v>
      </c>
      <c r="AC365" t="n">
        <v>4</v>
      </c>
      <c r="AD365" t="n">
        <v>29</v>
      </c>
      <c r="AE365" t="n">
        <v>29</v>
      </c>
      <c r="AF365" t="n">
        <v>13</v>
      </c>
      <c r="AG365" t="n">
        <v>13</v>
      </c>
      <c r="AH365" t="n">
        <v>9</v>
      </c>
      <c r="AI365" t="n">
        <v>9</v>
      </c>
      <c r="AJ365" t="n">
        <v>11</v>
      </c>
      <c r="AK365" t="n">
        <v>11</v>
      </c>
      <c r="AL365" t="n">
        <v>3</v>
      </c>
      <c r="AM365" t="n">
        <v>3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HYPERLINK("https://creighton-primo.hosted.exlibrisgroup.com/primo-explore/search?tab=default_tab&amp;search_scope=EVERYTHING&amp;vid=01CRU&amp;lang=en_US&amp;offset=0&amp;query=any,contains,991004949039702656","Catalog Record")</f>
        <v/>
      </c>
      <c r="AT365">
        <f>HYPERLINK("http://www.worldcat.org/oclc/6223597","WorldCat Record")</f>
        <v/>
      </c>
      <c r="AU365" t="inlineStr">
        <is>
          <t>3373531346:eng</t>
        </is>
      </c>
      <c r="AV365" t="inlineStr">
        <is>
          <t>6223597</t>
        </is>
      </c>
      <c r="AW365" t="inlineStr">
        <is>
          <t>991004949039702656</t>
        </is>
      </c>
      <c r="AX365" t="inlineStr">
        <is>
          <t>991004949039702656</t>
        </is>
      </c>
      <c r="AY365" t="inlineStr">
        <is>
          <t>2268423980002656</t>
        </is>
      </c>
      <c r="AZ365" t="inlineStr">
        <is>
          <t>BOOK</t>
        </is>
      </c>
      <c r="BB365" t="inlineStr">
        <is>
          <t>9780226667799</t>
        </is>
      </c>
      <c r="BC365" t="inlineStr">
        <is>
          <t>32285000600683</t>
        </is>
      </c>
      <c r="BD365" t="inlineStr">
        <is>
          <t>893332202</t>
        </is>
      </c>
    </row>
    <row r="366">
      <c r="A366" t="inlineStr">
        <is>
          <t>No</t>
        </is>
      </c>
      <c r="B366" t="inlineStr">
        <is>
          <t>BF311 .P51913</t>
        </is>
      </c>
      <c r="C366" t="inlineStr">
        <is>
          <t>0                      BF 0311000P  51913</t>
        </is>
      </c>
      <c r="D366" t="inlineStr">
        <is>
          <t>Success and understanding / Jean Piaget, collaborators M. Amann ... [et al.] ; translated by Arnold J. Pomerans. --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Piaget, Jean, 1896-1980.</t>
        </is>
      </c>
      <c r="L366" t="inlineStr">
        <is>
          <t>Cambridge, Mass. : Harvard University Press, 1978.</t>
        </is>
      </c>
      <c r="M366" t="inlineStr">
        <is>
          <t>1978</t>
        </is>
      </c>
      <c r="O366" t="inlineStr">
        <is>
          <t>eng</t>
        </is>
      </c>
      <c r="P366" t="inlineStr">
        <is>
          <t>mau</t>
        </is>
      </c>
      <c r="R366" t="inlineStr">
        <is>
          <t xml:space="preserve">BF </t>
        </is>
      </c>
      <c r="S366" t="n">
        <v>6</v>
      </c>
      <c r="T366" t="n">
        <v>6</v>
      </c>
      <c r="U366" t="inlineStr">
        <is>
          <t>2002-01-23</t>
        </is>
      </c>
      <c r="V366" t="inlineStr">
        <is>
          <t>2002-01-23</t>
        </is>
      </c>
      <c r="W366" t="inlineStr">
        <is>
          <t>1991-05-02</t>
        </is>
      </c>
      <c r="X366" t="inlineStr">
        <is>
          <t>1991-05-02</t>
        </is>
      </c>
      <c r="Y366" t="n">
        <v>1069</v>
      </c>
      <c r="Z366" t="n">
        <v>978</v>
      </c>
      <c r="AA366" t="n">
        <v>1026</v>
      </c>
      <c r="AB366" t="n">
        <v>6</v>
      </c>
      <c r="AC366" t="n">
        <v>6</v>
      </c>
      <c r="AD366" t="n">
        <v>42</v>
      </c>
      <c r="AE366" t="n">
        <v>42</v>
      </c>
      <c r="AF366" t="n">
        <v>17</v>
      </c>
      <c r="AG366" t="n">
        <v>17</v>
      </c>
      <c r="AH366" t="n">
        <v>10</v>
      </c>
      <c r="AI366" t="n">
        <v>10</v>
      </c>
      <c r="AJ366" t="n">
        <v>19</v>
      </c>
      <c r="AK366" t="n">
        <v>19</v>
      </c>
      <c r="AL366" t="n">
        <v>5</v>
      </c>
      <c r="AM366" t="n">
        <v>5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HYPERLINK("http://catalog.hathitrust.org/Record/000177831","HathiTrust Record")</f>
        <v/>
      </c>
      <c r="AS366">
        <f>HYPERLINK("https://creighton-primo.hosted.exlibrisgroup.com/primo-explore/search?tab=default_tab&amp;search_scope=EVERYTHING&amp;vid=01CRU&amp;lang=en_US&amp;offset=0&amp;query=any,contains,991004573359702656","Catalog Record")</f>
        <v/>
      </c>
      <c r="AT366">
        <f>HYPERLINK("http://www.worldcat.org/oclc/4036773","WorldCat Record")</f>
        <v/>
      </c>
      <c r="AU366" t="inlineStr">
        <is>
          <t>4535822988:eng</t>
        </is>
      </c>
      <c r="AV366" t="inlineStr">
        <is>
          <t>4036773</t>
        </is>
      </c>
      <c r="AW366" t="inlineStr">
        <is>
          <t>991004573359702656</t>
        </is>
      </c>
      <c r="AX366" t="inlineStr">
        <is>
          <t>991004573359702656</t>
        </is>
      </c>
      <c r="AY366" t="inlineStr">
        <is>
          <t>2269083230002656</t>
        </is>
      </c>
      <c r="AZ366" t="inlineStr">
        <is>
          <t>BOOK</t>
        </is>
      </c>
      <c r="BB366" t="inlineStr">
        <is>
          <t>9780674853874</t>
        </is>
      </c>
      <c r="BC366" t="inlineStr">
        <is>
          <t>32285000600691</t>
        </is>
      </c>
      <c r="BD366" t="inlineStr">
        <is>
          <t>893526256</t>
        </is>
      </c>
    </row>
    <row r="367">
      <c r="A367" t="inlineStr">
        <is>
          <t>No</t>
        </is>
      </c>
      <c r="B367" t="inlineStr">
        <is>
          <t>BF311 .P5213</t>
        </is>
      </c>
      <c r="C367" t="inlineStr">
        <is>
          <t>0                      BF 0311000P  5213</t>
        </is>
      </c>
      <c r="D367" t="inlineStr">
        <is>
          <t>Six psychological studies / translated from the French by Anita Tenzer and David Elkind. Edited, with an introd. and notes, by David Elkind.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Piaget, Jean, 1896-1980.</t>
        </is>
      </c>
      <c r="L367" t="inlineStr">
        <is>
          <t>New York : Random House, [1967]</t>
        </is>
      </c>
      <c r="M367" t="inlineStr">
        <is>
          <t>1967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BF </t>
        </is>
      </c>
      <c r="S367" t="n">
        <v>1</v>
      </c>
      <c r="T367" t="n">
        <v>1</v>
      </c>
      <c r="U367" t="inlineStr">
        <is>
          <t>1994-11-09</t>
        </is>
      </c>
      <c r="V367" t="inlineStr">
        <is>
          <t>1994-11-09</t>
        </is>
      </c>
      <c r="W367" t="inlineStr">
        <is>
          <t>1994-02-23</t>
        </is>
      </c>
      <c r="X367" t="inlineStr">
        <is>
          <t>1994-02-23</t>
        </is>
      </c>
      <c r="Y367" t="n">
        <v>1252</v>
      </c>
      <c r="Z367" t="n">
        <v>1124</v>
      </c>
      <c r="AA367" t="n">
        <v>1461</v>
      </c>
      <c r="AB367" t="n">
        <v>10</v>
      </c>
      <c r="AC367" t="n">
        <v>13</v>
      </c>
      <c r="AD367" t="n">
        <v>47</v>
      </c>
      <c r="AE367" t="n">
        <v>53</v>
      </c>
      <c r="AF367" t="n">
        <v>20</v>
      </c>
      <c r="AG367" t="n">
        <v>21</v>
      </c>
      <c r="AH367" t="n">
        <v>10</v>
      </c>
      <c r="AI367" t="n">
        <v>11</v>
      </c>
      <c r="AJ367" t="n">
        <v>21</v>
      </c>
      <c r="AK367" t="n">
        <v>24</v>
      </c>
      <c r="AL367" t="n">
        <v>8</v>
      </c>
      <c r="AM367" t="n">
        <v>10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HYPERLINK("http://catalog.hathitrust.org/Record/000356411","HathiTrust Record")</f>
        <v/>
      </c>
      <c r="AS367">
        <f>HYPERLINK("https://creighton-primo.hosted.exlibrisgroup.com/primo-explore/search?tab=default_tab&amp;search_scope=EVERYTHING&amp;vid=01CRU&amp;lang=en_US&amp;offset=0&amp;query=any,contains,991001206979702656","Catalog Record")</f>
        <v/>
      </c>
      <c r="AT367">
        <f>HYPERLINK("http://www.worldcat.org/oclc/192330","WorldCat Record")</f>
        <v/>
      </c>
      <c r="AU367" t="inlineStr">
        <is>
          <t>10177131642:eng</t>
        </is>
      </c>
      <c r="AV367" t="inlineStr">
        <is>
          <t>192330</t>
        </is>
      </c>
      <c r="AW367" t="inlineStr">
        <is>
          <t>991001206979702656</t>
        </is>
      </c>
      <c r="AX367" t="inlineStr">
        <is>
          <t>991001206979702656</t>
        </is>
      </c>
      <c r="AY367" t="inlineStr">
        <is>
          <t>2256456510002656</t>
        </is>
      </c>
      <c r="AZ367" t="inlineStr">
        <is>
          <t>BOOK</t>
        </is>
      </c>
      <c r="BC367" t="inlineStr">
        <is>
          <t>32285001839975</t>
        </is>
      </c>
      <c r="BD367" t="inlineStr">
        <is>
          <t>893231794</t>
        </is>
      </c>
    </row>
    <row r="368">
      <c r="A368" t="inlineStr">
        <is>
          <t>No</t>
        </is>
      </c>
      <c r="B368" t="inlineStr">
        <is>
          <t>BF311 .R353 1987</t>
        </is>
      </c>
      <c r="C368" t="inlineStr">
        <is>
          <t>0                      BF 0311000R  353         1987</t>
        </is>
      </c>
      <c r="D368" t="inlineStr">
        <is>
          <t>Life-span cognitive development / George W. Rebok.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Rebok, George W.</t>
        </is>
      </c>
      <c r="L368" t="inlineStr">
        <is>
          <t>New York : Holt, Rinehart, and Winston, c1987.</t>
        </is>
      </c>
      <c r="M368" t="inlineStr">
        <is>
          <t>1987</t>
        </is>
      </c>
      <c r="O368" t="inlineStr">
        <is>
          <t>eng</t>
        </is>
      </c>
      <c r="P368" t="inlineStr">
        <is>
          <t>nyu</t>
        </is>
      </c>
      <c r="R368" t="inlineStr">
        <is>
          <t xml:space="preserve">BF </t>
        </is>
      </c>
      <c r="S368" t="n">
        <v>6</v>
      </c>
      <c r="T368" t="n">
        <v>6</v>
      </c>
      <c r="U368" t="inlineStr">
        <is>
          <t>2002-07-17</t>
        </is>
      </c>
      <c r="V368" t="inlineStr">
        <is>
          <t>2002-07-17</t>
        </is>
      </c>
      <c r="W368" t="inlineStr">
        <is>
          <t>1990-01-23</t>
        </is>
      </c>
      <c r="X368" t="inlineStr">
        <is>
          <t>1990-01-23</t>
        </is>
      </c>
      <c r="Y368" t="n">
        <v>265</v>
      </c>
      <c r="Z368" t="n">
        <v>163</v>
      </c>
      <c r="AA368" t="n">
        <v>170</v>
      </c>
      <c r="AB368" t="n">
        <v>2</v>
      </c>
      <c r="AC368" t="n">
        <v>2</v>
      </c>
      <c r="AD368" t="n">
        <v>8</v>
      </c>
      <c r="AE368" t="n">
        <v>8</v>
      </c>
      <c r="AF368" t="n">
        <v>2</v>
      </c>
      <c r="AG368" t="n">
        <v>2</v>
      </c>
      <c r="AH368" t="n">
        <v>1</v>
      </c>
      <c r="AI368" t="n">
        <v>1</v>
      </c>
      <c r="AJ368" t="n">
        <v>5</v>
      </c>
      <c r="AK368" t="n">
        <v>5</v>
      </c>
      <c r="AL368" t="n">
        <v>1</v>
      </c>
      <c r="AM368" t="n">
        <v>1</v>
      </c>
      <c r="AN368" t="n">
        <v>0</v>
      </c>
      <c r="AO368" t="n">
        <v>0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HYPERLINK("http://catalog.hathitrust.org/Record/000910614","HathiTrust Record")</f>
        <v/>
      </c>
      <c r="AS368">
        <f>HYPERLINK("https://creighton-primo.hosted.exlibrisgroup.com/primo-explore/search?tab=default_tab&amp;search_scope=EVERYTHING&amp;vid=01CRU&amp;lang=en_US&amp;offset=0&amp;query=any,contains,991000909899702656","Catalog Record")</f>
        <v/>
      </c>
      <c r="AT368">
        <f>HYPERLINK("http://www.worldcat.org/oclc/14130745","WorldCat Record")</f>
        <v/>
      </c>
      <c r="AU368" t="inlineStr">
        <is>
          <t>7534861:eng</t>
        </is>
      </c>
      <c r="AV368" t="inlineStr">
        <is>
          <t>14130745</t>
        </is>
      </c>
      <c r="AW368" t="inlineStr">
        <is>
          <t>991000909899702656</t>
        </is>
      </c>
      <c r="AX368" t="inlineStr">
        <is>
          <t>991000909899702656</t>
        </is>
      </c>
      <c r="AY368" t="inlineStr">
        <is>
          <t>2265172200002656</t>
        </is>
      </c>
      <c r="AZ368" t="inlineStr">
        <is>
          <t>BOOK</t>
        </is>
      </c>
      <c r="BB368" t="inlineStr">
        <is>
          <t>9780030641824</t>
        </is>
      </c>
      <c r="BC368" t="inlineStr">
        <is>
          <t>32285000029503</t>
        </is>
      </c>
      <c r="BD368" t="inlineStr">
        <is>
          <t>893496671</t>
        </is>
      </c>
    </row>
    <row r="369">
      <c r="A369" t="inlineStr">
        <is>
          <t>No</t>
        </is>
      </c>
      <c r="B369" t="inlineStr">
        <is>
          <t>BF311 .R38 1968</t>
        </is>
      </c>
      <c r="C369" t="inlineStr">
        <is>
          <t>0                      BF 0311000R  38          1968</t>
        </is>
      </c>
      <c r="D369" t="inlineStr">
        <is>
          <t>The perception of stimulus relations; discrimination learning and transposition [by] Hayne W. Reese.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Reese, Hayne Waring, 1931-</t>
        </is>
      </c>
      <c r="L369" t="inlineStr">
        <is>
          <t>New York, Academic Press, 1968.</t>
        </is>
      </c>
      <c r="M369" t="inlineStr">
        <is>
          <t>1968</t>
        </is>
      </c>
      <c r="O369" t="inlineStr">
        <is>
          <t>eng</t>
        </is>
      </c>
      <c r="P369" t="inlineStr">
        <is>
          <t>nyu</t>
        </is>
      </c>
      <c r="Q369" t="inlineStr">
        <is>
          <t>The Child psychology series</t>
        </is>
      </c>
      <c r="R369" t="inlineStr">
        <is>
          <t xml:space="preserve">BF </t>
        </is>
      </c>
      <c r="S369" t="n">
        <v>3</v>
      </c>
      <c r="T369" t="n">
        <v>3</v>
      </c>
      <c r="U369" t="inlineStr">
        <is>
          <t>2003-03-15</t>
        </is>
      </c>
      <c r="V369" t="inlineStr">
        <is>
          <t>2003-03-15</t>
        </is>
      </c>
      <c r="W369" t="inlineStr">
        <is>
          <t>1996-07-26</t>
        </is>
      </c>
      <c r="X369" t="inlineStr">
        <is>
          <t>1996-07-26</t>
        </is>
      </c>
      <c r="Y369" t="n">
        <v>466</v>
      </c>
      <c r="Z369" t="n">
        <v>354</v>
      </c>
      <c r="AA369" t="n">
        <v>391</v>
      </c>
      <c r="AB369" t="n">
        <v>4</v>
      </c>
      <c r="AC369" t="n">
        <v>4</v>
      </c>
      <c r="AD369" t="n">
        <v>25</v>
      </c>
      <c r="AE369" t="n">
        <v>26</v>
      </c>
      <c r="AF369" t="n">
        <v>6</v>
      </c>
      <c r="AG369" t="n">
        <v>7</v>
      </c>
      <c r="AH369" t="n">
        <v>7</v>
      </c>
      <c r="AI369" t="n">
        <v>7</v>
      </c>
      <c r="AJ369" t="n">
        <v>14</v>
      </c>
      <c r="AK369" t="n">
        <v>14</v>
      </c>
      <c r="AL369" t="n">
        <v>3</v>
      </c>
      <c r="AM369" t="n">
        <v>3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HYPERLINK("http://catalog.hathitrust.org/Record/000354631","HathiTrust Record")</f>
        <v/>
      </c>
      <c r="AS369">
        <f>HYPERLINK("https://creighton-primo.hosted.exlibrisgroup.com/primo-explore/search?tab=default_tab&amp;search_scope=EVERYTHING&amp;vid=01CRU&amp;lang=en_US&amp;offset=0&amp;query=any,contains,991001376479702656","Catalog Record")</f>
        <v/>
      </c>
      <c r="AT369">
        <f>HYPERLINK("http://www.worldcat.org/oclc/224965","WorldCat Record")</f>
        <v/>
      </c>
      <c r="AU369" t="inlineStr">
        <is>
          <t>820884810:eng</t>
        </is>
      </c>
      <c r="AV369" t="inlineStr">
        <is>
          <t>224965</t>
        </is>
      </c>
      <c r="AW369" t="inlineStr">
        <is>
          <t>991001376479702656</t>
        </is>
      </c>
      <c r="AX369" t="inlineStr">
        <is>
          <t>991001376479702656</t>
        </is>
      </c>
      <c r="AY369" t="inlineStr">
        <is>
          <t>2263603230002656</t>
        </is>
      </c>
      <c r="AZ369" t="inlineStr">
        <is>
          <t>BOOK</t>
        </is>
      </c>
      <c r="BC369" t="inlineStr">
        <is>
          <t>32285002238086</t>
        </is>
      </c>
      <c r="BD369" t="inlineStr">
        <is>
          <t>893626662</t>
        </is>
      </c>
    </row>
    <row r="370">
      <c r="A370" t="inlineStr">
        <is>
          <t>No</t>
        </is>
      </c>
      <c r="B370" t="inlineStr">
        <is>
          <t>BF311 .R86</t>
        </is>
      </c>
      <c r="C370" t="inlineStr">
        <is>
          <t>0                      BF 0311000R  86</t>
        </is>
      </c>
      <c r="D370" t="inlineStr">
        <is>
          <t>Perception, sensation and verification.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Rundle, Bede.</t>
        </is>
      </c>
      <c r="L370" t="inlineStr">
        <is>
          <t>Oxford, Clarendon Press, 1972.</t>
        </is>
      </c>
      <c r="M370" t="inlineStr">
        <is>
          <t>1972</t>
        </is>
      </c>
      <c r="O370" t="inlineStr">
        <is>
          <t>eng</t>
        </is>
      </c>
      <c r="P370" t="inlineStr">
        <is>
          <t>enk</t>
        </is>
      </c>
      <c r="R370" t="inlineStr">
        <is>
          <t xml:space="preserve">BF </t>
        </is>
      </c>
      <c r="S370" t="n">
        <v>2</v>
      </c>
      <c r="T370" t="n">
        <v>2</v>
      </c>
      <c r="U370" t="inlineStr">
        <is>
          <t>1996-09-23</t>
        </is>
      </c>
      <c r="V370" t="inlineStr">
        <is>
          <t>1996-09-23</t>
        </is>
      </c>
      <c r="W370" t="inlineStr">
        <is>
          <t>1996-07-26</t>
        </is>
      </c>
      <c r="X370" t="inlineStr">
        <is>
          <t>1996-07-26</t>
        </is>
      </c>
      <c r="Y370" t="n">
        <v>496</v>
      </c>
      <c r="Z370" t="n">
        <v>336</v>
      </c>
      <c r="AA370" t="n">
        <v>343</v>
      </c>
      <c r="AB370" t="n">
        <v>3</v>
      </c>
      <c r="AC370" t="n">
        <v>3</v>
      </c>
      <c r="AD370" t="n">
        <v>17</v>
      </c>
      <c r="AE370" t="n">
        <v>17</v>
      </c>
      <c r="AF370" t="n">
        <v>4</v>
      </c>
      <c r="AG370" t="n">
        <v>4</v>
      </c>
      <c r="AH370" t="n">
        <v>3</v>
      </c>
      <c r="AI370" t="n">
        <v>3</v>
      </c>
      <c r="AJ370" t="n">
        <v>12</v>
      </c>
      <c r="AK370" t="n">
        <v>12</v>
      </c>
      <c r="AL370" t="n">
        <v>2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HYPERLINK("http://catalog.hathitrust.org/Record/000356423","HathiTrust Record")</f>
        <v/>
      </c>
      <c r="AS370">
        <f>HYPERLINK("https://creighton-primo.hosted.exlibrisgroup.com/primo-explore/search?tab=default_tab&amp;search_scope=EVERYTHING&amp;vid=01CRU&amp;lang=en_US&amp;offset=0&amp;query=any,contains,991002894389702656","Catalog Record")</f>
        <v/>
      </c>
      <c r="AT370">
        <f>HYPERLINK("http://www.worldcat.org/oclc/513265","WorldCat Record")</f>
        <v/>
      </c>
      <c r="AU370" t="inlineStr">
        <is>
          <t>416084:eng</t>
        </is>
      </c>
      <c r="AV370" t="inlineStr">
        <is>
          <t>513265</t>
        </is>
      </c>
      <c r="AW370" t="inlineStr">
        <is>
          <t>991002894389702656</t>
        </is>
      </c>
      <c r="AX370" t="inlineStr">
        <is>
          <t>991002894389702656</t>
        </is>
      </c>
      <c r="AY370" t="inlineStr">
        <is>
          <t>2260728590002656</t>
        </is>
      </c>
      <c r="AZ370" t="inlineStr">
        <is>
          <t>BOOK</t>
        </is>
      </c>
      <c r="BB370" t="inlineStr">
        <is>
          <t>9780198243908</t>
        </is>
      </c>
      <c r="BC370" t="inlineStr">
        <is>
          <t>32285002238094</t>
        </is>
      </c>
      <c r="BD370" t="inlineStr">
        <is>
          <t>893233569</t>
        </is>
      </c>
    </row>
    <row r="371">
      <c r="A371" t="inlineStr">
        <is>
          <t>No</t>
        </is>
      </c>
      <c r="B371" t="inlineStr">
        <is>
          <t>BF311 .S38</t>
        </is>
      </c>
      <c r="C371" t="inlineStr">
        <is>
          <t>0                      BF 0311000S  38</t>
        </is>
      </c>
      <c r="D371" t="inlineStr">
        <is>
          <t>Mind: perception and thought in their constructive aspects, by Paul Schilder.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Schilder, Paul, 1886-1940.</t>
        </is>
      </c>
      <c r="L371" t="inlineStr">
        <is>
          <t>New York, Columbia university press, 1942.</t>
        </is>
      </c>
      <c r="M371" t="inlineStr">
        <is>
          <t>1942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BF </t>
        </is>
      </c>
      <c r="S371" t="n">
        <v>3</v>
      </c>
      <c r="T371" t="n">
        <v>3</v>
      </c>
      <c r="U371" t="inlineStr">
        <is>
          <t>1997-10-23</t>
        </is>
      </c>
      <c r="V371" t="inlineStr">
        <is>
          <t>1997-10-23</t>
        </is>
      </c>
      <c r="W371" t="inlineStr">
        <is>
          <t>1996-07-26</t>
        </is>
      </c>
      <c r="X371" t="inlineStr">
        <is>
          <t>1996-07-26</t>
        </is>
      </c>
      <c r="Y371" t="n">
        <v>115</v>
      </c>
      <c r="Z371" t="n">
        <v>105</v>
      </c>
      <c r="AA371" t="n">
        <v>302</v>
      </c>
      <c r="AB371" t="n">
        <v>4</v>
      </c>
      <c r="AC371" t="n">
        <v>4</v>
      </c>
      <c r="AD371" t="n">
        <v>5</v>
      </c>
      <c r="AE371" t="n">
        <v>13</v>
      </c>
      <c r="AF371" t="n">
        <v>0</v>
      </c>
      <c r="AG371" t="n">
        <v>3</v>
      </c>
      <c r="AH371" t="n">
        <v>1</v>
      </c>
      <c r="AI371" t="n">
        <v>3</v>
      </c>
      <c r="AJ371" t="n">
        <v>2</v>
      </c>
      <c r="AK371" t="n">
        <v>8</v>
      </c>
      <c r="AL371" t="n">
        <v>3</v>
      </c>
      <c r="AM371" t="n">
        <v>3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HYPERLINK("http://catalog.hathitrust.org/Record/006246745","HathiTrust Record")</f>
        <v/>
      </c>
      <c r="AS371">
        <f>HYPERLINK("https://creighton-primo.hosted.exlibrisgroup.com/primo-explore/search?tab=default_tab&amp;search_scope=EVERYTHING&amp;vid=01CRU&amp;lang=en_US&amp;offset=0&amp;query=any,contains,991000250169702656","Catalog Record")</f>
        <v/>
      </c>
      <c r="AT371">
        <f>HYPERLINK("http://www.worldcat.org/oclc/9751695","WorldCat Record")</f>
        <v/>
      </c>
      <c r="AU371" t="inlineStr">
        <is>
          <t>1322773:eng</t>
        </is>
      </c>
      <c r="AV371" t="inlineStr">
        <is>
          <t>9751695</t>
        </is>
      </c>
      <c r="AW371" t="inlineStr">
        <is>
          <t>991000250169702656</t>
        </is>
      </c>
      <c r="AX371" t="inlineStr">
        <is>
          <t>991000250169702656</t>
        </is>
      </c>
      <c r="AY371" t="inlineStr">
        <is>
          <t>2258609380002656</t>
        </is>
      </c>
      <c r="AZ371" t="inlineStr">
        <is>
          <t>BOOK</t>
        </is>
      </c>
      <c r="BC371" t="inlineStr">
        <is>
          <t>32285002238128</t>
        </is>
      </c>
      <c r="BD371" t="inlineStr">
        <is>
          <t>893515139</t>
        </is>
      </c>
    </row>
    <row r="372">
      <c r="A372" t="inlineStr">
        <is>
          <t>No</t>
        </is>
      </c>
      <c r="B372" t="inlineStr">
        <is>
          <t>BF311 .S455</t>
        </is>
      </c>
      <c r="C372" t="inlineStr">
        <is>
          <t>0                      BF 0311000S  455</t>
        </is>
      </c>
      <c r="D372" t="inlineStr">
        <is>
          <t>Sex-related differences in cognitive functioning : developmental issues / edited by Michele Andrisin Wittig, Anne C. Petersen.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New York : Academic Press, 1979.</t>
        </is>
      </c>
      <c r="M372" t="inlineStr">
        <is>
          <t>1979</t>
        </is>
      </c>
      <c r="O372" t="inlineStr">
        <is>
          <t>eng</t>
        </is>
      </c>
      <c r="P372" t="inlineStr">
        <is>
          <t>nyu</t>
        </is>
      </c>
      <c r="Q372" t="inlineStr">
        <is>
          <t>Academic Press series in cognition and perception</t>
        </is>
      </c>
      <c r="R372" t="inlineStr">
        <is>
          <t xml:space="preserve">BF </t>
        </is>
      </c>
      <c r="S372" t="n">
        <v>1</v>
      </c>
      <c r="T372" t="n">
        <v>1</v>
      </c>
      <c r="U372" t="inlineStr">
        <is>
          <t>2000-09-07</t>
        </is>
      </c>
      <c r="V372" t="inlineStr">
        <is>
          <t>2000-09-07</t>
        </is>
      </c>
      <c r="W372" t="inlineStr">
        <is>
          <t>1991-05-02</t>
        </is>
      </c>
      <c r="X372" t="inlineStr">
        <is>
          <t>1991-05-02</t>
        </is>
      </c>
      <c r="Y372" t="n">
        <v>688</v>
      </c>
      <c r="Z372" t="n">
        <v>520</v>
      </c>
      <c r="AA372" t="n">
        <v>527</v>
      </c>
      <c r="AB372" t="n">
        <v>5</v>
      </c>
      <c r="AC372" t="n">
        <v>5</v>
      </c>
      <c r="AD372" t="n">
        <v>27</v>
      </c>
      <c r="AE372" t="n">
        <v>27</v>
      </c>
      <c r="AF372" t="n">
        <v>7</v>
      </c>
      <c r="AG372" t="n">
        <v>7</v>
      </c>
      <c r="AH372" t="n">
        <v>6</v>
      </c>
      <c r="AI372" t="n">
        <v>6</v>
      </c>
      <c r="AJ372" t="n">
        <v>17</v>
      </c>
      <c r="AK372" t="n">
        <v>17</v>
      </c>
      <c r="AL372" t="n">
        <v>3</v>
      </c>
      <c r="AM372" t="n">
        <v>3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HYPERLINK("http://catalog.hathitrust.org/Record/000297635","HathiTrust Record")</f>
        <v/>
      </c>
      <c r="AS372">
        <f>HYPERLINK("https://creighton-primo.hosted.exlibrisgroup.com/primo-explore/search?tab=default_tab&amp;search_scope=EVERYTHING&amp;vid=01CRU&amp;lang=en_US&amp;offset=0&amp;query=any,contains,991004715249702656","Catalog Record")</f>
        <v/>
      </c>
      <c r="AT372">
        <f>HYPERLINK("http://www.worldcat.org/oclc/4775767","WorldCat Record")</f>
        <v/>
      </c>
      <c r="AU372" t="inlineStr">
        <is>
          <t>795184923:eng</t>
        </is>
      </c>
      <c r="AV372" t="inlineStr">
        <is>
          <t>4775767</t>
        </is>
      </c>
      <c r="AW372" t="inlineStr">
        <is>
          <t>991004715249702656</t>
        </is>
      </c>
      <c r="AX372" t="inlineStr">
        <is>
          <t>991004715249702656</t>
        </is>
      </c>
      <c r="AY372" t="inlineStr">
        <is>
          <t>2255437260002656</t>
        </is>
      </c>
      <c r="AZ372" t="inlineStr">
        <is>
          <t>BOOK</t>
        </is>
      </c>
      <c r="BB372" t="inlineStr">
        <is>
          <t>9780127611501</t>
        </is>
      </c>
      <c r="BC372" t="inlineStr">
        <is>
          <t>32285000600808</t>
        </is>
      </c>
      <c r="BD372" t="inlineStr">
        <is>
          <t>893889181</t>
        </is>
      </c>
    </row>
    <row r="373">
      <c r="A373" t="inlineStr">
        <is>
          <t>No</t>
        </is>
      </c>
      <c r="B373" t="inlineStr">
        <is>
          <t>BF311 .S653</t>
        </is>
      </c>
      <c r="C373" t="inlineStr">
        <is>
          <t>0                      BF 0311000S  653</t>
        </is>
      </c>
      <c r="D373" t="inlineStr">
        <is>
          <t>Cognitive psychology / Robert L. Solso ; under the general editorship of Jerome Kagan.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Solso, Robert L., 1933-</t>
        </is>
      </c>
      <c r="L373" t="inlineStr">
        <is>
          <t>New York : Harcourt, Brace, Jovanovich, c1979.</t>
        </is>
      </c>
      <c r="M373" t="inlineStr">
        <is>
          <t>1979</t>
        </is>
      </c>
      <c r="O373" t="inlineStr">
        <is>
          <t>eng</t>
        </is>
      </c>
      <c r="P373" t="inlineStr">
        <is>
          <t>nyu</t>
        </is>
      </c>
      <c r="R373" t="inlineStr">
        <is>
          <t xml:space="preserve">BF </t>
        </is>
      </c>
      <c r="S373" t="n">
        <v>9</v>
      </c>
      <c r="T373" t="n">
        <v>9</v>
      </c>
      <c r="U373" t="inlineStr">
        <is>
          <t>2008-04-02</t>
        </is>
      </c>
      <c r="V373" t="inlineStr">
        <is>
          <t>2008-04-02</t>
        </is>
      </c>
      <c r="W373" t="inlineStr">
        <is>
          <t>1991-05-02</t>
        </is>
      </c>
      <c r="X373" t="inlineStr">
        <is>
          <t>1991-05-02</t>
        </is>
      </c>
      <c r="Y373" t="n">
        <v>256</v>
      </c>
      <c r="Z373" t="n">
        <v>139</v>
      </c>
      <c r="AA373" t="n">
        <v>380</v>
      </c>
      <c r="AB373" t="n">
        <v>2</v>
      </c>
      <c r="AC373" t="n">
        <v>3</v>
      </c>
      <c r="AD373" t="n">
        <v>6</v>
      </c>
      <c r="AE373" t="n">
        <v>14</v>
      </c>
      <c r="AF373" t="n">
        <v>0</v>
      </c>
      <c r="AG373" t="n">
        <v>3</v>
      </c>
      <c r="AH373" t="n">
        <v>2</v>
      </c>
      <c r="AI373" t="n">
        <v>4</v>
      </c>
      <c r="AJ373" t="n">
        <v>4</v>
      </c>
      <c r="AK373" t="n">
        <v>10</v>
      </c>
      <c r="AL373" t="n">
        <v>1</v>
      </c>
      <c r="AM373" t="n">
        <v>2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HYPERLINK("http://catalog.hathitrust.org/Record/000085254","HathiTrust Record")</f>
        <v/>
      </c>
      <c r="AS373">
        <f>HYPERLINK("https://creighton-primo.hosted.exlibrisgroup.com/primo-explore/search?tab=default_tab&amp;search_scope=EVERYTHING&amp;vid=01CRU&amp;lang=en_US&amp;offset=0&amp;query=any,contains,991004828829702656","Catalog Record")</f>
        <v/>
      </c>
      <c r="AT373">
        <f>HYPERLINK("http://www.worldcat.org/oclc/5384592","WorldCat Record")</f>
        <v/>
      </c>
      <c r="AU373" t="inlineStr">
        <is>
          <t>666230:eng</t>
        </is>
      </c>
      <c r="AV373" t="inlineStr">
        <is>
          <t>5384592</t>
        </is>
      </c>
      <c r="AW373" t="inlineStr">
        <is>
          <t>991004828829702656</t>
        </is>
      </c>
      <c r="AX373" t="inlineStr">
        <is>
          <t>991004828829702656</t>
        </is>
      </c>
      <c r="AY373" t="inlineStr">
        <is>
          <t>2270788670002656</t>
        </is>
      </c>
      <c r="AZ373" t="inlineStr">
        <is>
          <t>BOOK</t>
        </is>
      </c>
      <c r="BB373" t="inlineStr">
        <is>
          <t>9780155078703</t>
        </is>
      </c>
      <c r="BC373" t="inlineStr">
        <is>
          <t>32285000600824</t>
        </is>
      </c>
      <c r="BD373" t="inlineStr">
        <is>
          <t>893612819</t>
        </is>
      </c>
    </row>
    <row r="374">
      <c r="A374" t="inlineStr">
        <is>
          <t>No</t>
        </is>
      </c>
      <c r="B374" t="inlineStr">
        <is>
          <t>BF311 .S6778 1997</t>
        </is>
      </c>
      <c r="C374" t="inlineStr">
        <is>
          <t>0                      BF 0311000S  6778        1997</t>
        </is>
      </c>
      <c r="D374" t="inlineStr">
        <is>
          <t>Thinking styles / Robert J. Sternberg.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Sternberg, Robert J.</t>
        </is>
      </c>
      <c r="L374" t="inlineStr">
        <is>
          <t>Cambridge, U.K. ; New York, NY, USA : Cambridge University Press, 1997.</t>
        </is>
      </c>
      <c r="M374" t="inlineStr">
        <is>
          <t>1997</t>
        </is>
      </c>
      <c r="O374" t="inlineStr">
        <is>
          <t>eng</t>
        </is>
      </c>
      <c r="P374" t="inlineStr">
        <is>
          <t>enk</t>
        </is>
      </c>
      <c r="R374" t="inlineStr">
        <is>
          <t xml:space="preserve">BF </t>
        </is>
      </c>
      <c r="S374" t="n">
        <v>1</v>
      </c>
      <c r="T374" t="n">
        <v>1</v>
      </c>
      <c r="U374" t="inlineStr">
        <is>
          <t>2000-10-28</t>
        </is>
      </c>
      <c r="V374" t="inlineStr">
        <is>
          <t>2000-10-28</t>
        </is>
      </c>
      <c r="W374" t="inlineStr">
        <is>
          <t>1998-08-05</t>
        </is>
      </c>
      <c r="X374" t="inlineStr">
        <is>
          <t>1998-08-05</t>
        </is>
      </c>
      <c r="Y374" t="n">
        <v>1093</v>
      </c>
      <c r="Z374" t="n">
        <v>907</v>
      </c>
      <c r="AA374" t="n">
        <v>1014</v>
      </c>
      <c r="AB374" t="n">
        <v>9</v>
      </c>
      <c r="AC374" t="n">
        <v>10</v>
      </c>
      <c r="AD374" t="n">
        <v>46</v>
      </c>
      <c r="AE374" t="n">
        <v>48</v>
      </c>
      <c r="AF374" t="n">
        <v>19</v>
      </c>
      <c r="AG374" t="n">
        <v>20</v>
      </c>
      <c r="AH374" t="n">
        <v>9</v>
      </c>
      <c r="AI374" t="n">
        <v>9</v>
      </c>
      <c r="AJ374" t="n">
        <v>22</v>
      </c>
      <c r="AK374" t="n">
        <v>22</v>
      </c>
      <c r="AL374" t="n">
        <v>7</v>
      </c>
      <c r="AM374" t="n">
        <v>8</v>
      </c>
      <c r="AN374" t="n">
        <v>1</v>
      </c>
      <c r="AO374" t="n">
        <v>1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HYPERLINK("https://creighton-primo.hosted.exlibrisgroup.com/primo-explore/search?tab=default_tab&amp;search_scope=EVERYTHING&amp;vid=01CRU&amp;lang=en_US&amp;offset=0&amp;query=any,contains,991002767309702656","Catalog Record")</f>
        <v/>
      </c>
      <c r="AT374">
        <f>HYPERLINK("http://www.worldcat.org/oclc/36315844","WorldCat Record")</f>
        <v/>
      </c>
      <c r="AU374" t="inlineStr">
        <is>
          <t>556130:eng</t>
        </is>
      </c>
      <c r="AV374" t="inlineStr">
        <is>
          <t>36315844</t>
        </is>
      </c>
      <c r="AW374" t="inlineStr">
        <is>
          <t>991002767309702656</t>
        </is>
      </c>
      <c r="AX374" t="inlineStr">
        <is>
          <t>991002767309702656</t>
        </is>
      </c>
      <c r="AY374" t="inlineStr">
        <is>
          <t>2265026200002656</t>
        </is>
      </c>
      <c r="AZ374" t="inlineStr">
        <is>
          <t>BOOK</t>
        </is>
      </c>
      <c r="BB374" t="inlineStr">
        <is>
          <t>9780521553162</t>
        </is>
      </c>
      <c r="BC374" t="inlineStr">
        <is>
          <t>32285003449328</t>
        </is>
      </c>
      <c r="BD374" t="inlineStr">
        <is>
          <t>893886693</t>
        </is>
      </c>
    </row>
    <row r="375">
      <c r="A375" t="inlineStr">
        <is>
          <t>No</t>
        </is>
      </c>
      <c r="B375" t="inlineStr">
        <is>
          <t>BF311 .S733</t>
        </is>
      </c>
      <c r="C375" t="inlineStr">
        <is>
          <t>0                      BF 0311000S  733</t>
        </is>
      </c>
      <c r="D375" t="inlineStr">
        <is>
          <t>Studies in perception : interrelations in the history of philosophy and science / edited by Peter K. Machamer and Robert G. Turnbull.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L375" t="inlineStr">
        <is>
          <t>Columbus : Ohio State University Press, c1978.</t>
        </is>
      </c>
      <c r="M375" t="inlineStr">
        <is>
          <t>1978</t>
        </is>
      </c>
      <c r="O375" t="inlineStr">
        <is>
          <t>eng</t>
        </is>
      </c>
      <c r="P375" t="inlineStr">
        <is>
          <t>ohu</t>
        </is>
      </c>
      <c r="R375" t="inlineStr">
        <is>
          <t xml:space="preserve">BF </t>
        </is>
      </c>
      <c r="S375" t="n">
        <v>11</v>
      </c>
      <c r="T375" t="n">
        <v>11</v>
      </c>
      <c r="U375" t="inlineStr">
        <is>
          <t>1999-04-19</t>
        </is>
      </c>
      <c r="V375" t="inlineStr">
        <is>
          <t>1999-04-19</t>
        </is>
      </c>
      <c r="W375" t="inlineStr">
        <is>
          <t>1996-07-26</t>
        </is>
      </c>
      <c r="X375" t="inlineStr">
        <is>
          <t>1996-07-26</t>
        </is>
      </c>
      <c r="Y375" t="n">
        <v>496</v>
      </c>
      <c r="Z375" t="n">
        <v>402</v>
      </c>
      <c r="AA375" t="n">
        <v>414</v>
      </c>
      <c r="AB375" t="n">
        <v>2</v>
      </c>
      <c r="AC375" t="n">
        <v>2</v>
      </c>
      <c r="AD375" t="n">
        <v>21</v>
      </c>
      <c r="AE375" t="n">
        <v>23</v>
      </c>
      <c r="AF375" t="n">
        <v>5</v>
      </c>
      <c r="AG375" t="n">
        <v>6</v>
      </c>
      <c r="AH375" t="n">
        <v>6</v>
      </c>
      <c r="AI375" t="n">
        <v>7</v>
      </c>
      <c r="AJ375" t="n">
        <v>14</v>
      </c>
      <c r="AK375" t="n">
        <v>15</v>
      </c>
      <c r="AL375" t="n">
        <v>1</v>
      </c>
      <c r="AM375" t="n">
        <v>1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HYPERLINK("http://catalog.hathitrust.org/Record/000294767","HathiTrust Record")</f>
        <v/>
      </c>
      <c r="AS375">
        <f>HYPERLINK("https://creighton-primo.hosted.exlibrisgroup.com/primo-explore/search?tab=default_tab&amp;search_scope=EVERYTHING&amp;vid=01CRU&amp;lang=en_US&amp;offset=0&amp;query=any,contains,991004374419702656","Catalog Record")</f>
        <v/>
      </c>
      <c r="AT375">
        <f>HYPERLINK("http://www.worldcat.org/oclc/3203713","WorldCat Record")</f>
        <v/>
      </c>
      <c r="AU375" t="inlineStr">
        <is>
          <t>890014801:eng</t>
        </is>
      </c>
      <c r="AV375" t="inlineStr">
        <is>
          <t>3203713</t>
        </is>
      </c>
      <c r="AW375" t="inlineStr">
        <is>
          <t>991004374419702656</t>
        </is>
      </c>
      <c r="AX375" t="inlineStr">
        <is>
          <t>991004374419702656</t>
        </is>
      </c>
      <c r="AY375" t="inlineStr">
        <is>
          <t>2270821030002656</t>
        </is>
      </c>
      <c r="AZ375" t="inlineStr">
        <is>
          <t>BOOK</t>
        </is>
      </c>
      <c r="BB375" t="inlineStr">
        <is>
          <t>9780814202449</t>
        </is>
      </c>
      <c r="BC375" t="inlineStr">
        <is>
          <t>32285002238151</t>
        </is>
      </c>
      <c r="BD375" t="inlineStr">
        <is>
          <t>893259656</t>
        </is>
      </c>
    </row>
    <row r="376">
      <c r="A376" t="inlineStr">
        <is>
          <t>No</t>
        </is>
      </c>
      <c r="B376" t="inlineStr">
        <is>
          <t>BF311 .S83 1969</t>
        </is>
      </c>
      <c r="C376" t="inlineStr">
        <is>
          <t>0                      BF 0311000S  83          1969</t>
        </is>
      </c>
      <c r="D376" t="inlineStr">
        <is>
          <t>Cognition in learning and memory. Contributors for this volume: Gordon H. Bower [and others]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Symposium on Cognition (5th : 1969 : Pittsburgh, Pa.)</t>
        </is>
      </c>
      <c r="L376" t="inlineStr">
        <is>
          <t>New York, Wiley [1972]</t>
        </is>
      </c>
      <c r="M376" t="inlineStr">
        <is>
          <t>1972</t>
        </is>
      </c>
      <c r="O376" t="inlineStr">
        <is>
          <t>eng</t>
        </is>
      </c>
      <c r="P376" t="inlineStr">
        <is>
          <t>nyu</t>
        </is>
      </c>
      <c r="R376" t="inlineStr">
        <is>
          <t xml:space="preserve">BF </t>
        </is>
      </c>
      <c r="S376" t="n">
        <v>1</v>
      </c>
      <c r="T376" t="n">
        <v>1</v>
      </c>
      <c r="U376" t="inlineStr">
        <is>
          <t>1996-10-21</t>
        </is>
      </c>
      <c r="V376" t="inlineStr">
        <is>
          <t>1996-10-21</t>
        </is>
      </c>
      <c r="W376" t="inlineStr">
        <is>
          <t>1996-07-26</t>
        </is>
      </c>
      <c r="X376" t="inlineStr">
        <is>
          <t>1996-07-26</t>
        </is>
      </c>
      <c r="Y376" t="n">
        <v>441</v>
      </c>
      <c r="Z376" t="n">
        <v>335</v>
      </c>
      <c r="AA376" t="n">
        <v>347</v>
      </c>
      <c r="AB376" t="n">
        <v>3</v>
      </c>
      <c r="AC376" t="n">
        <v>3</v>
      </c>
      <c r="AD376" t="n">
        <v>13</v>
      </c>
      <c r="AE376" t="n">
        <v>13</v>
      </c>
      <c r="AF376" t="n">
        <v>2</v>
      </c>
      <c r="AG376" t="n">
        <v>2</v>
      </c>
      <c r="AH376" t="n">
        <v>3</v>
      </c>
      <c r="AI376" t="n">
        <v>3</v>
      </c>
      <c r="AJ376" t="n">
        <v>8</v>
      </c>
      <c r="AK376" t="n">
        <v>8</v>
      </c>
      <c r="AL376" t="n">
        <v>2</v>
      </c>
      <c r="AM376" t="n">
        <v>2</v>
      </c>
      <c r="AN376" t="n">
        <v>0</v>
      </c>
      <c r="AO376" t="n">
        <v>0</v>
      </c>
      <c r="AP376" t="inlineStr">
        <is>
          <t>No</t>
        </is>
      </c>
      <c r="AQ376" t="inlineStr">
        <is>
          <t>Yes</t>
        </is>
      </c>
      <c r="AR376">
        <f>HYPERLINK("http://catalog.hathitrust.org/Record/000354935","HathiTrust Record")</f>
        <v/>
      </c>
      <c r="AS376">
        <f>HYPERLINK("https://creighton-primo.hosted.exlibrisgroup.com/primo-explore/search?tab=default_tab&amp;search_scope=EVERYTHING&amp;vid=01CRU&amp;lang=en_US&amp;offset=0&amp;query=any,contains,991002615119702656","Catalog Record")</f>
        <v/>
      </c>
      <c r="AT376">
        <f>HYPERLINK("http://www.worldcat.org/oclc/379301","WorldCat Record")</f>
        <v/>
      </c>
      <c r="AU376" t="inlineStr">
        <is>
          <t>180512165:eng</t>
        </is>
      </c>
      <c r="AV376" t="inlineStr">
        <is>
          <t>379301</t>
        </is>
      </c>
      <c r="AW376" t="inlineStr">
        <is>
          <t>991002615119702656</t>
        </is>
      </c>
      <c r="AX376" t="inlineStr">
        <is>
          <t>991002615119702656</t>
        </is>
      </c>
      <c r="AY376" t="inlineStr">
        <is>
          <t>2265076970002656</t>
        </is>
      </c>
      <c r="AZ376" t="inlineStr">
        <is>
          <t>BOOK</t>
        </is>
      </c>
      <c r="BB376" t="inlineStr">
        <is>
          <t>9780471326588</t>
        </is>
      </c>
      <c r="BC376" t="inlineStr">
        <is>
          <t>32285002238177</t>
        </is>
      </c>
      <c r="BD376" t="inlineStr">
        <is>
          <t>893867454</t>
        </is>
      </c>
    </row>
    <row r="377">
      <c r="A377" t="inlineStr">
        <is>
          <t>No</t>
        </is>
      </c>
      <c r="B377" t="inlineStr">
        <is>
          <t>BF311 .T33 1982</t>
        </is>
      </c>
      <c r="C377" t="inlineStr">
        <is>
          <t>0                      BF 0311000T  33          1982</t>
        </is>
      </c>
      <c r="D377" t="inlineStr">
        <is>
          <t>Mind / David A. Taylor.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Taylor, David A., 1943-</t>
        </is>
      </c>
      <c r="L377" t="inlineStr">
        <is>
          <t>New York : Simon and Schuster, c1982.</t>
        </is>
      </c>
      <c r="M377" t="inlineStr">
        <is>
          <t>1982</t>
        </is>
      </c>
      <c r="O377" t="inlineStr">
        <is>
          <t>eng</t>
        </is>
      </c>
      <c r="P377" t="inlineStr">
        <is>
          <t>nyu</t>
        </is>
      </c>
      <c r="R377" t="inlineStr">
        <is>
          <t xml:space="preserve">BF </t>
        </is>
      </c>
      <c r="S377" t="n">
        <v>2</v>
      </c>
      <c r="T377" t="n">
        <v>2</v>
      </c>
      <c r="U377" t="inlineStr">
        <is>
          <t>1997-10-23</t>
        </is>
      </c>
      <c r="V377" t="inlineStr">
        <is>
          <t>1997-10-23</t>
        </is>
      </c>
      <c r="W377" t="inlineStr">
        <is>
          <t>1991-05-02</t>
        </is>
      </c>
      <c r="X377" t="inlineStr">
        <is>
          <t>1991-05-02</t>
        </is>
      </c>
      <c r="Y377" t="n">
        <v>418</v>
      </c>
      <c r="Z377" t="n">
        <v>382</v>
      </c>
      <c r="AA377" t="n">
        <v>391</v>
      </c>
      <c r="AB377" t="n">
        <v>2</v>
      </c>
      <c r="AC377" t="n">
        <v>2</v>
      </c>
      <c r="AD377" t="n">
        <v>9</v>
      </c>
      <c r="AE377" t="n">
        <v>9</v>
      </c>
      <c r="AF377" t="n">
        <v>3</v>
      </c>
      <c r="AG377" t="n">
        <v>3</v>
      </c>
      <c r="AH377" t="n">
        <v>2</v>
      </c>
      <c r="AI377" t="n">
        <v>2</v>
      </c>
      <c r="AJ377" t="n">
        <v>6</v>
      </c>
      <c r="AK377" t="n">
        <v>6</v>
      </c>
      <c r="AL377" t="n">
        <v>1</v>
      </c>
      <c r="AM377" t="n">
        <v>1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HYPERLINK("http://catalog.hathitrust.org/Record/000145079","HathiTrust Record")</f>
        <v/>
      </c>
      <c r="AS377">
        <f>HYPERLINK("https://creighton-primo.hosted.exlibrisgroup.com/primo-explore/search?tab=default_tab&amp;search_scope=EVERYTHING&amp;vid=01CRU&amp;lang=en_US&amp;offset=0&amp;query=any,contains,991005188119702656","Catalog Record")</f>
        <v/>
      </c>
      <c r="AT377">
        <f>HYPERLINK("http://www.worldcat.org/oclc/7978089","WorldCat Record")</f>
        <v/>
      </c>
      <c r="AU377" t="inlineStr">
        <is>
          <t>3943317799:eng</t>
        </is>
      </c>
      <c r="AV377" t="inlineStr">
        <is>
          <t>7978089</t>
        </is>
      </c>
      <c r="AW377" t="inlineStr">
        <is>
          <t>991005188119702656</t>
        </is>
      </c>
      <c r="AX377" t="inlineStr">
        <is>
          <t>991005188119702656</t>
        </is>
      </c>
      <c r="AY377" t="inlineStr">
        <is>
          <t>2271534270002656</t>
        </is>
      </c>
      <c r="AZ377" t="inlineStr">
        <is>
          <t>BOOK</t>
        </is>
      </c>
      <c r="BB377" t="inlineStr">
        <is>
          <t>9780671255411</t>
        </is>
      </c>
      <c r="BC377" t="inlineStr">
        <is>
          <t>32285000600832</t>
        </is>
      </c>
      <c r="BD377" t="inlineStr">
        <is>
          <t>893418515</t>
        </is>
      </c>
    </row>
    <row r="378">
      <c r="A378" t="inlineStr">
        <is>
          <t>No</t>
        </is>
      </c>
      <c r="B378" t="inlineStr">
        <is>
          <t>BF311 .T44</t>
        </is>
      </c>
      <c r="C378" t="inlineStr">
        <is>
          <t>0                      BF 0311000T  44</t>
        </is>
      </c>
      <c r="D378" t="inlineStr">
        <is>
          <t>Theories in cognitive psychology: the Loyola symposium. Edited by Robert L. Solso.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Potomac, Md., Lawrence Erlbaum Associates; distributed by the Halsted Press Division of Wiley, New York, 1974.</t>
        </is>
      </c>
      <c r="M378" t="inlineStr">
        <is>
          <t>1974</t>
        </is>
      </c>
      <c r="O378" t="inlineStr">
        <is>
          <t>eng</t>
        </is>
      </c>
      <c r="P378" t="inlineStr">
        <is>
          <t>mdu</t>
        </is>
      </c>
      <c r="R378" t="inlineStr">
        <is>
          <t xml:space="preserve">BF </t>
        </is>
      </c>
      <c r="S378" t="n">
        <v>1</v>
      </c>
      <c r="T378" t="n">
        <v>1</v>
      </c>
      <c r="U378" t="inlineStr">
        <is>
          <t>2007-05-22</t>
        </is>
      </c>
      <c r="V378" t="inlineStr">
        <is>
          <t>2007-05-22</t>
        </is>
      </c>
      <c r="W378" t="inlineStr">
        <is>
          <t>1996-07-26</t>
        </is>
      </c>
      <c r="X378" t="inlineStr">
        <is>
          <t>1996-07-26</t>
        </is>
      </c>
      <c r="Y378" t="n">
        <v>519</v>
      </c>
      <c r="Z378" t="n">
        <v>385</v>
      </c>
      <c r="AA378" t="n">
        <v>391</v>
      </c>
      <c r="AB378" t="n">
        <v>2</v>
      </c>
      <c r="AC378" t="n">
        <v>2</v>
      </c>
      <c r="AD378" t="n">
        <v>17</v>
      </c>
      <c r="AE378" t="n">
        <v>17</v>
      </c>
      <c r="AF378" t="n">
        <v>4</v>
      </c>
      <c r="AG378" t="n">
        <v>4</v>
      </c>
      <c r="AH378" t="n">
        <v>7</v>
      </c>
      <c r="AI378" t="n">
        <v>7</v>
      </c>
      <c r="AJ378" t="n">
        <v>11</v>
      </c>
      <c r="AK378" t="n">
        <v>11</v>
      </c>
      <c r="AL378" t="n">
        <v>1</v>
      </c>
      <c r="AM378" t="n">
        <v>1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HYPERLINK("http://catalog.hathitrust.org/Record/000355048","HathiTrust Record")</f>
        <v/>
      </c>
      <c r="AS378">
        <f>HYPERLINK("https://creighton-primo.hosted.exlibrisgroup.com/primo-explore/search?tab=default_tab&amp;search_scope=EVERYTHING&amp;vid=01CRU&amp;lang=en_US&amp;offset=0&amp;query=any,contains,991003305679702656","Catalog Record")</f>
        <v/>
      </c>
      <c r="AT378">
        <f>HYPERLINK("http://www.worldcat.org/oclc/828413","WorldCat Record")</f>
        <v/>
      </c>
      <c r="AU378" t="inlineStr">
        <is>
          <t>3855780539:eng</t>
        </is>
      </c>
      <c r="AV378" t="inlineStr">
        <is>
          <t>828413</t>
        </is>
      </c>
      <c r="AW378" t="inlineStr">
        <is>
          <t>991003305679702656</t>
        </is>
      </c>
      <c r="AX378" t="inlineStr">
        <is>
          <t>991003305679702656</t>
        </is>
      </c>
      <c r="AY378" t="inlineStr">
        <is>
          <t>2269240720002656</t>
        </is>
      </c>
      <c r="AZ378" t="inlineStr">
        <is>
          <t>BOOK</t>
        </is>
      </c>
      <c r="BB378" t="inlineStr">
        <is>
          <t>9780470812280</t>
        </is>
      </c>
      <c r="BC378" t="inlineStr">
        <is>
          <t>32285002238201</t>
        </is>
      </c>
      <c r="BD378" t="inlineStr">
        <is>
          <t>893428658</t>
        </is>
      </c>
    </row>
    <row r="379">
      <c r="A379" t="inlineStr">
        <is>
          <t>No</t>
        </is>
      </c>
      <c r="B379" t="inlineStr">
        <is>
          <t>BF311 .V3</t>
        </is>
      </c>
      <c r="C379" t="inlineStr">
        <is>
          <t>0                      BF 0311000V  3</t>
        </is>
      </c>
      <c r="D379" t="inlineStr">
        <is>
          <t>The experimental psychology of beauty, by C. W. Valentine.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Valentine, C. W. (Charles Wilfred), 1879-1964.</t>
        </is>
      </c>
      <c r="L379" t="inlineStr">
        <is>
          <t>London, Methuen, [c1962 ]</t>
        </is>
      </c>
      <c r="M379" t="inlineStr">
        <is>
          <t>1962</t>
        </is>
      </c>
      <c r="O379" t="inlineStr">
        <is>
          <t>eng</t>
        </is>
      </c>
      <c r="P379" t="inlineStr">
        <is>
          <t xml:space="preserve">xx </t>
        </is>
      </c>
      <c r="Q379" t="inlineStr">
        <is>
          <t>Social science paperbacks, SSP34</t>
        </is>
      </c>
      <c r="R379" t="inlineStr">
        <is>
          <t xml:space="preserve">BF </t>
        </is>
      </c>
      <c r="S379" t="n">
        <v>3</v>
      </c>
      <c r="T379" t="n">
        <v>3</v>
      </c>
      <c r="U379" t="inlineStr">
        <is>
          <t>2009-05-02</t>
        </is>
      </c>
      <c r="V379" t="inlineStr">
        <is>
          <t>2009-05-02</t>
        </is>
      </c>
      <c r="W379" t="inlineStr">
        <is>
          <t>1996-07-26</t>
        </is>
      </c>
      <c r="X379" t="inlineStr">
        <is>
          <t>1996-07-26</t>
        </is>
      </c>
      <c r="Y379" t="n">
        <v>346</v>
      </c>
      <c r="Z379" t="n">
        <v>215</v>
      </c>
      <c r="AA379" t="n">
        <v>383</v>
      </c>
      <c r="AB379" t="n">
        <v>1</v>
      </c>
      <c r="AC379" t="n">
        <v>3</v>
      </c>
      <c r="AD379" t="n">
        <v>10</v>
      </c>
      <c r="AE379" t="n">
        <v>14</v>
      </c>
      <c r="AF379" t="n">
        <v>3</v>
      </c>
      <c r="AG379" t="n">
        <v>4</v>
      </c>
      <c r="AH379" t="n">
        <v>2</v>
      </c>
      <c r="AI379" t="n">
        <v>3</v>
      </c>
      <c r="AJ379" t="n">
        <v>6</v>
      </c>
      <c r="AK379" t="n">
        <v>6</v>
      </c>
      <c r="AL379" t="n">
        <v>0</v>
      </c>
      <c r="AM379" t="n">
        <v>2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HYPERLINK("http://catalog.hathitrust.org/Record/000354518","HathiTrust Record")</f>
        <v/>
      </c>
      <c r="AS379">
        <f>HYPERLINK("https://creighton-primo.hosted.exlibrisgroup.com/primo-explore/search?tab=default_tab&amp;search_scope=EVERYTHING&amp;vid=01CRU&amp;lang=en_US&amp;offset=0&amp;query=any,contains,991005254789702656","Catalog Record")</f>
        <v/>
      </c>
      <c r="AT379">
        <f>HYPERLINK("http://www.worldcat.org/oclc/1063543","WorldCat Record")</f>
        <v/>
      </c>
      <c r="AU379" t="inlineStr">
        <is>
          <t>3901025161:eng</t>
        </is>
      </c>
      <c r="AV379" t="inlineStr">
        <is>
          <t>1063543</t>
        </is>
      </c>
      <c r="AW379" t="inlineStr">
        <is>
          <t>991005254789702656</t>
        </is>
      </c>
      <c r="AX379" t="inlineStr">
        <is>
          <t>991005254789702656</t>
        </is>
      </c>
      <c r="AY379" t="inlineStr">
        <is>
          <t>2258103190002656</t>
        </is>
      </c>
      <c r="AZ379" t="inlineStr">
        <is>
          <t>BOOK</t>
        </is>
      </c>
      <c r="BC379" t="inlineStr">
        <is>
          <t>32285002238243</t>
        </is>
      </c>
      <c r="BD379" t="inlineStr">
        <is>
          <t>893332670</t>
        </is>
      </c>
    </row>
    <row r="380">
      <c r="A380" t="inlineStr">
        <is>
          <t>No</t>
        </is>
      </c>
      <c r="B380" t="inlineStr">
        <is>
          <t>BF311 .V46</t>
        </is>
      </c>
      <c r="C380" t="inlineStr">
        <is>
          <t>0                      BF 0311000V  46</t>
        </is>
      </c>
      <c r="D380" t="inlineStr">
        <is>
          <t>The psychology of perception.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Vernon, M. D. (Magdalen Dorothea), 1901-1991.</t>
        </is>
      </c>
      <c r="L380" t="inlineStr">
        <is>
          <t>Baltimore, Penguin Books [1963, c1962]</t>
        </is>
      </c>
      <c r="M380" t="inlineStr">
        <is>
          <t>1963</t>
        </is>
      </c>
      <c r="O380" t="inlineStr">
        <is>
          <t>eng</t>
        </is>
      </c>
      <c r="P380" t="inlineStr">
        <is>
          <t>mdu</t>
        </is>
      </c>
      <c r="Q380" t="inlineStr">
        <is>
          <t>Pelican books ; A530</t>
        </is>
      </c>
      <c r="R380" t="inlineStr">
        <is>
          <t xml:space="preserve">BF </t>
        </is>
      </c>
      <c r="S380" t="n">
        <v>3</v>
      </c>
      <c r="T380" t="n">
        <v>3</v>
      </c>
      <c r="U380" t="inlineStr">
        <is>
          <t>1996-09-23</t>
        </is>
      </c>
      <c r="V380" t="inlineStr">
        <is>
          <t>1996-09-23</t>
        </is>
      </c>
      <c r="W380" t="inlineStr">
        <is>
          <t>1996-07-26</t>
        </is>
      </c>
      <c r="X380" t="inlineStr">
        <is>
          <t>1996-07-26</t>
        </is>
      </c>
      <c r="Y380" t="n">
        <v>39</v>
      </c>
      <c r="Z380" t="n">
        <v>28</v>
      </c>
      <c r="AA380" t="n">
        <v>475</v>
      </c>
      <c r="AB380" t="n">
        <v>1</v>
      </c>
      <c r="AC380" t="n">
        <v>2</v>
      </c>
      <c r="AD380" t="n">
        <v>0</v>
      </c>
      <c r="AE380" t="n">
        <v>22</v>
      </c>
      <c r="AF380" t="n">
        <v>0</v>
      </c>
      <c r="AG380" t="n">
        <v>9</v>
      </c>
      <c r="AH380" t="n">
        <v>0</v>
      </c>
      <c r="AI380" t="n">
        <v>6</v>
      </c>
      <c r="AJ380" t="n">
        <v>0</v>
      </c>
      <c r="AK380" t="n">
        <v>12</v>
      </c>
      <c r="AL380" t="n">
        <v>0</v>
      </c>
      <c r="AM380" t="n">
        <v>1</v>
      </c>
      <c r="AN380" t="n">
        <v>0</v>
      </c>
      <c r="AO380" t="n">
        <v>0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HYPERLINK("https://creighton-primo.hosted.exlibrisgroup.com/primo-explore/search?tab=default_tab&amp;search_scope=EVERYTHING&amp;vid=01CRU&amp;lang=en_US&amp;offset=0&amp;query=any,contains,991005188589702656","Catalog Record")</f>
        <v/>
      </c>
      <c r="AT380">
        <f>HYPERLINK("http://www.worldcat.org/oclc/7981518","WorldCat Record")</f>
        <v/>
      </c>
      <c r="AU380" t="inlineStr">
        <is>
          <t>115297580:eng</t>
        </is>
      </c>
      <c r="AV380" t="inlineStr">
        <is>
          <t>7981518</t>
        </is>
      </c>
      <c r="AW380" t="inlineStr">
        <is>
          <t>991005188589702656</t>
        </is>
      </c>
      <c r="AX380" t="inlineStr">
        <is>
          <t>991005188589702656</t>
        </is>
      </c>
      <c r="AY380" t="inlineStr">
        <is>
          <t>2261035090002656</t>
        </is>
      </c>
      <c r="AZ380" t="inlineStr">
        <is>
          <t>BOOK</t>
        </is>
      </c>
      <c r="BC380" t="inlineStr">
        <is>
          <t>32285002238250</t>
        </is>
      </c>
      <c r="BD380" t="inlineStr">
        <is>
          <t>893789584</t>
        </is>
      </c>
    </row>
    <row r="381">
      <c r="A381" t="inlineStr">
        <is>
          <t>No</t>
        </is>
      </c>
      <c r="B381" t="inlineStr">
        <is>
          <t>BF311 .W44</t>
        </is>
      </c>
      <c r="C381" t="inlineStr">
        <is>
          <t>0                      BF 0311000W  44</t>
        </is>
      </c>
      <c r="D381" t="inlineStr">
        <is>
          <t>Toward a contemporary psychology of intuition : a historical, theoretical, and empirical inquiry / by Malcolm R. Westcott.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Westcott, Malcolm R.</t>
        </is>
      </c>
      <c r="L381" t="inlineStr">
        <is>
          <t>New York : Holt, Rinehart and Winston, [1968]</t>
        </is>
      </c>
      <c r="M381" t="inlineStr">
        <is>
          <t>1968</t>
        </is>
      </c>
      <c r="O381" t="inlineStr">
        <is>
          <t>eng</t>
        </is>
      </c>
      <c r="P381" t="inlineStr">
        <is>
          <t>nyu</t>
        </is>
      </c>
      <c r="R381" t="inlineStr">
        <is>
          <t xml:space="preserve">BF </t>
        </is>
      </c>
      <c r="S381" t="n">
        <v>3</v>
      </c>
      <c r="T381" t="n">
        <v>3</v>
      </c>
      <c r="U381" t="inlineStr">
        <is>
          <t>1998-01-18</t>
        </is>
      </c>
      <c r="V381" t="inlineStr">
        <is>
          <t>1998-01-18</t>
        </is>
      </c>
      <c r="W381" t="inlineStr">
        <is>
          <t>1992-05-08</t>
        </is>
      </c>
      <c r="X381" t="inlineStr">
        <is>
          <t>1992-05-08</t>
        </is>
      </c>
      <c r="Y381" t="n">
        <v>489</v>
      </c>
      <c r="Z381" t="n">
        <v>380</v>
      </c>
      <c r="AA381" t="n">
        <v>387</v>
      </c>
      <c r="AB381" t="n">
        <v>3</v>
      </c>
      <c r="AC381" t="n">
        <v>3</v>
      </c>
      <c r="AD381" t="n">
        <v>17</v>
      </c>
      <c r="AE381" t="n">
        <v>17</v>
      </c>
      <c r="AF381" t="n">
        <v>6</v>
      </c>
      <c r="AG381" t="n">
        <v>6</v>
      </c>
      <c r="AH381" t="n">
        <v>6</v>
      </c>
      <c r="AI381" t="n">
        <v>6</v>
      </c>
      <c r="AJ381" t="n">
        <v>8</v>
      </c>
      <c r="AK381" t="n">
        <v>8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HYPERLINK("http://catalog.hathitrust.org/Record/000006072","HathiTrust Record")</f>
        <v/>
      </c>
      <c r="AS381">
        <f>HYPERLINK("https://creighton-primo.hosted.exlibrisgroup.com/primo-explore/search?tab=default_tab&amp;search_scope=EVERYTHING&amp;vid=01CRU&amp;lang=en_US&amp;offset=0&amp;query=any,contains,991002778429702656","Catalog Record")</f>
        <v/>
      </c>
      <c r="AT381">
        <f>HYPERLINK("http://www.worldcat.org/oclc/439455","WorldCat Record")</f>
        <v/>
      </c>
      <c r="AU381" t="inlineStr">
        <is>
          <t>285272994:eng</t>
        </is>
      </c>
      <c r="AV381" t="inlineStr">
        <is>
          <t>439455</t>
        </is>
      </c>
      <c r="AW381" t="inlineStr">
        <is>
          <t>991002778429702656</t>
        </is>
      </c>
      <c r="AX381" t="inlineStr">
        <is>
          <t>991002778429702656</t>
        </is>
      </c>
      <c r="AY381" t="inlineStr">
        <is>
          <t>2266636950002656</t>
        </is>
      </c>
      <c r="AZ381" t="inlineStr">
        <is>
          <t>BOOK</t>
        </is>
      </c>
      <c r="BC381" t="inlineStr">
        <is>
          <t>32285001106185</t>
        </is>
      </c>
      <c r="BD381" t="inlineStr">
        <is>
          <t>893880398</t>
        </is>
      </c>
    </row>
    <row r="382">
      <c r="A382" t="inlineStr">
        <is>
          <t>No</t>
        </is>
      </c>
      <c r="B382" t="inlineStr">
        <is>
          <t>BF311.P523 B62</t>
        </is>
      </c>
      <c r="C382" t="inlineStr">
        <is>
          <t>0                      BF 0311000P  523                B  62</t>
        </is>
      </c>
      <c r="D382" t="inlineStr">
        <is>
          <t>Jean Piaget / Margaret A. Boden.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Boden, Margaret A.</t>
        </is>
      </c>
      <c r="L382" t="inlineStr">
        <is>
          <t>New York : Viking Press, 1980.</t>
        </is>
      </c>
      <c r="M382" t="inlineStr">
        <is>
          <t>1980</t>
        </is>
      </c>
      <c r="O382" t="inlineStr">
        <is>
          <t>eng</t>
        </is>
      </c>
      <c r="P382" t="inlineStr">
        <is>
          <t>nyu</t>
        </is>
      </c>
      <c r="Q382" t="inlineStr">
        <is>
          <t>Modern masters</t>
        </is>
      </c>
      <c r="R382" t="inlineStr">
        <is>
          <t xml:space="preserve">BF </t>
        </is>
      </c>
      <c r="S382" t="n">
        <v>5</v>
      </c>
      <c r="T382" t="n">
        <v>5</v>
      </c>
      <c r="U382" t="inlineStr">
        <is>
          <t>2010-02-23</t>
        </is>
      </c>
      <c r="V382" t="inlineStr">
        <is>
          <t>2010-02-23</t>
        </is>
      </c>
      <c r="W382" t="inlineStr">
        <is>
          <t>1991-07-16</t>
        </is>
      </c>
      <c r="X382" t="inlineStr">
        <is>
          <t>1991-07-16</t>
        </is>
      </c>
      <c r="Y382" t="n">
        <v>1149</v>
      </c>
      <c r="Z382" t="n">
        <v>1075</v>
      </c>
      <c r="AA382" t="n">
        <v>1158</v>
      </c>
      <c r="AB382" t="n">
        <v>5</v>
      </c>
      <c r="AC382" t="n">
        <v>6</v>
      </c>
      <c r="AD382" t="n">
        <v>38</v>
      </c>
      <c r="AE382" t="n">
        <v>40</v>
      </c>
      <c r="AF382" t="n">
        <v>15</v>
      </c>
      <c r="AG382" t="n">
        <v>16</v>
      </c>
      <c r="AH382" t="n">
        <v>9</v>
      </c>
      <c r="AI382" t="n">
        <v>9</v>
      </c>
      <c r="AJ382" t="n">
        <v>19</v>
      </c>
      <c r="AK382" t="n">
        <v>19</v>
      </c>
      <c r="AL382" t="n">
        <v>4</v>
      </c>
      <c r="AM382" t="n">
        <v>5</v>
      </c>
      <c r="AN382" t="n">
        <v>0</v>
      </c>
      <c r="AO382" t="n">
        <v>0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HYPERLINK("http://catalog.hathitrust.org/Record/000686008","HathiTrust Record")</f>
        <v/>
      </c>
      <c r="AS382">
        <f>HYPERLINK("https://creighton-primo.hosted.exlibrisgroup.com/primo-explore/search?tab=default_tab&amp;search_scope=EVERYTHING&amp;vid=01CRU&amp;lang=en_US&amp;offset=0&amp;query=any,contains,991004861669702656","Catalog Record")</f>
        <v/>
      </c>
      <c r="AT382">
        <f>HYPERLINK("http://www.worldcat.org/oclc/5706751","WorldCat Record")</f>
        <v/>
      </c>
      <c r="AU382" t="inlineStr">
        <is>
          <t>412830:eng</t>
        </is>
      </c>
      <c r="AV382" t="inlineStr">
        <is>
          <t>5706751</t>
        </is>
      </c>
      <c r="AW382" t="inlineStr">
        <is>
          <t>991004861669702656</t>
        </is>
      </c>
      <c r="AX382" t="inlineStr">
        <is>
          <t>991004861669702656</t>
        </is>
      </c>
      <c r="AY382" t="inlineStr">
        <is>
          <t>2261295150002656</t>
        </is>
      </c>
      <c r="AZ382" t="inlineStr">
        <is>
          <t>BOOK</t>
        </is>
      </c>
      <c r="BB382" t="inlineStr">
        <is>
          <t>9780670406326</t>
        </is>
      </c>
      <c r="BC382" t="inlineStr">
        <is>
          <t>32285000675768</t>
        </is>
      </c>
      <c r="BD382" t="inlineStr">
        <is>
          <t>893625179</t>
        </is>
      </c>
    </row>
    <row r="383">
      <c r="A383" t="inlineStr">
        <is>
          <t>No</t>
        </is>
      </c>
      <c r="B383" t="inlineStr">
        <is>
          <t>BF311.P523 V89</t>
        </is>
      </c>
      <c r="C383" t="inlineStr">
        <is>
          <t>0                      BF 0311000P  523                V  89</t>
        </is>
      </c>
      <c r="D383" t="inlineStr">
        <is>
          <t>Overview and critique of Piaget's genetic epistemology, 1965-1980 / Rita Vuyk.</t>
        </is>
      </c>
      <c r="E383" t="inlineStr">
        <is>
          <t>V.1</t>
        </is>
      </c>
      <c r="F383" t="inlineStr">
        <is>
          <t>Yes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Vuyk, Rita.</t>
        </is>
      </c>
      <c r="L383" t="inlineStr">
        <is>
          <t>London ; New York : Academic Press, 1981.</t>
        </is>
      </c>
      <c r="M383" t="inlineStr">
        <is>
          <t>1981</t>
        </is>
      </c>
      <c r="O383" t="inlineStr">
        <is>
          <t>eng</t>
        </is>
      </c>
      <c r="P383" t="inlineStr">
        <is>
          <t>enk</t>
        </is>
      </c>
      <c r="R383" t="inlineStr">
        <is>
          <t xml:space="preserve">BF </t>
        </is>
      </c>
      <c r="S383" t="n">
        <v>2</v>
      </c>
      <c r="T383" t="n">
        <v>6</v>
      </c>
      <c r="V383" t="inlineStr">
        <is>
          <t>1997-10-23</t>
        </is>
      </c>
      <c r="W383" t="inlineStr">
        <is>
          <t>1991-05-02</t>
        </is>
      </c>
      <c r="X383" t="inlineStr">
        <is>
          <t>1991-05-02</t>
        </is>
      </c>
      <c r="Y383" t="n">
        <v>380</v>
      </c>
      <c r="Z383" t="n">
        <v>263</v>
      </c>
      <c r="AA383" t="n">
        <v>266</v>
      </c>
      <c r="AB383" t="n">
        <v>3</v>
      </c>
      <c r="AC383" t="n">
        <v>3</v>
      </c>
      <c r="AD383" t="n">
        <v>13</v>
      </c>
      <c r="AE383" t="n">
        <v>13</v>
      </c>
      <c r="AF383" t="n">
        <v>4</v>
      </c>
      <c r="AG383" t="n">
        <v>4</v>
      </c>
      <c r="AH383" t="n">
        <v>5</v>
      </c>
      <c r="AI383" t="n">
        <v>5</v>
      </c>
      <c r="AJ383" t="n">
        <v>6</v>
      </c>
      <c r="AK383" t="n">
        <v>6</v>
      </c>
      <c r="AL383" t="n">
        <v>2</v>
      </c>
      <c r="AM383" t="n">
        <v>2</v>
      </c>
      <c r="AN383" t="n">
        <v>0</v>
      </c>
      <c r="AO383" t="n">
        <v>0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HYPERLINK("http://catalog.hathitrust.org/Record/000226187","HathiTrust Record")</f>
        <v/>
      </c>
      <c r="AS383">
        <f>HYPERLINK("https://creighton-primo.hosted.exlibrisgroup.com/primo-explore/search?tab=default_tab&amp;search_scope=EVERYTHING&amp;vid=01CRU&amp;lang=en_US&amp;offset=0&amp;query=any,contains,991005087149702656","Catalog Record")</f>
        <v/>
      </c>
      <c r="AT383">
        <f>HYPERLINK("http://www.worldcat.org/oclc/7197234","WorldCat Record")</f>
        <v/>
      </c>
      <c r="AU383" t="inlineStr">
        <is>
          <t>409936:eng</t>
        </is>
      </c>
      <c r="AV383" t="inlineStr">
        <is>
          <t>7197234</t>
        </is>
      </c>
      <c r="AW383" t="inlineStr">
        <is>
          <t>991005087149702656</t>
        </is>
      </c>
      <c r="AX383" t="inlineStr">
        <is>
          <t>991005087149702656</t>
        </is>
      </c>
      <c r="AY383" t="inlineStr">
        <is>
          <t>2255656130002656</t>
        </is>
      </c>
      <c r="AZ383" t="inlineStr">
        <is>
          <t>BOOK</t>
        </is>
      </c>
      <c r="BB383" t="inlineStr">
        <is>
          <t>9780127285016</t>
        </is>
      </c>
      <c r="BC383" t="inlineStr">
        <is>
          <t>32285000600717</t>
        </is>
      </c>
      <c r="BD383" t="inlineStr">
        <is>
          <t>893236254</t>
        </is>
      </c>
    </row>
    <row r="384">
      <c r="A384" t="inlineStr">
        <is>
          <t>No</t>
        </is>
      </c>
      <c r="B384" t="inlineStr">
        <is>
          <t>BF311.P523 V89</t>
        </is>
      </c>
      <c r="C384" t="inlineStr">
        <is>
          <t>0                      BF 0311000P  523                V  89</t>
        </is>
      </c>
      <c r="D384" t="inlineStr">
        <is>
          <t>Overview and critique of Piaget's genetic epistemology, 1965-1980 / Rita Vuyk.</t>
        </is>
      </c>
      <c r="E384" t="inlineStr">
        <is>
          <t>V.2</t>
        </is>
      </c>
      <c r="F384" t="inlineStr">
        <is>
          <t>Yes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Vuyk, Rita.</t>
        </is>
      </c>
      <c r="L384" t="inlineStr">
        <is>
          <t>London ; New York : Academic Press, 1981.</t>
        </is>
      </c>
      <c r="M384" t="inlineStr">
        <is>
          <t>1981</t>
        </is>
      </c>
      <c r="O384" t="inlineStr">
        <is>
          <t>eng</t>
        </is>
      </c>
      <c r="P384" t="inlineStr">
        <is>
          <t>enk</t>
        </is>
      </c>
      <c r="R384" t="inlineStr">
        <is>
          <t xml:space="preserve">BF </t>
        </is>
      </c>
      <c r="S384" t="n">
        <v>4</v>
      </c>
      <c r="T384" t="n">
        <v>6</v>
      </c>
      <c r="U384" t="inlineStr">
        <is>
          <t>1997-10-23</t>
        </is>
      </c>
      <c r="V384" t="inlineStr">
        <is>
          <t>1997-10-23</t>
        </is>
      </c>
      <c r="W384" t="inlineStr">
        <is>
          <t>1991-05-02</t>
        </is>
      </c>
      <c r="X384" t="inlineStr">
        <is>
          <t>1991-05-02</t>
        </is>
      </c>
      <c r="Y384" t="n">
        <v>380</v>
      </c>
      <c r="Z384" t="n">
        <v>263</v>
      </c>
      <c r="AA384" t="n">
        <v>266</v>
      </c>
      <c r="AB384" t="n">
        <v>3</v>
      </c>
      <c r="AC384" t="n">
        <v>3</v>
      </c>
      <c r="AD384" t="n">
        <v>13</v>
      </c>
      <c r="AE384" t="n">
        <v>13</v>
      </c>
      <c r="AF384" t="n">
        <v>4</v>
      </c>
      <c r="AG384" t="n">
        <v>4</v>
      </c>
      <c r="AH384" t="n">
        <v>5</v>
      </c>
      <c r="AI384" t="n">
        <v>5</v>
      </c>
      <c r="AJ384" t="n">
        <v>6</v>
      </c>
      <c r="AK384" t="n">
        <v>6</v>
      </c>
      <c r="AL384" t="n">
        <v>2</v>
      </c>
      <c r="AM384" t="n">
        <v>2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HYPERLINK("http://catalog.hathitrust.org/Record/000226187","HathiTrust Record")</f>
        <v/>
      </c>
      <c r="AS384">
        <f>HYPERLINK("https://creighton-primo.hosted.exlibrisgroup.com/primo-explore/search?tab=default_tab&amp;search_scope=EVERYTHING&amp;vid=01CRU&amp;lang=en_US&amp;offset=0&amp;query=any,contains,991005087149702656","Catalog Record")</f>
        <v/>
      </c>
      <c r="AT384">
        <f>HYPERLINK("http://www.worldcat.org/oclc/7197234","WorldCat Record")</f>
        <v/>
      </c>
      <c r="AU384" t="inlineStr">
        <is>
          <t>409936:eng</t>
        </is>
      </c>
      <c r="AV384" t="inlineStr">
        <is>
          <t>7197234</t>
        </is>
      </c>
      <c r="AW384" t="inlineStr">
        <is>
          <t>991005087149702656</t>
        </is>
      </c>
      <c r="AX384" t="inlineStr">
        <is>
          <t>991005087149702656</t>
        </is>
      </c>
      <c r="AY384" t="inlineStr">
        <is>
          <t>2255656130002656</t>
        </is>
      </c>
      <c r="AZ384" t="inlineStr">
        <is>
          <t>BOOK</t>
        </is>
      </c>
      <c r="BB384" t="inlineStr">
        <is>
          <t>9780127285016</t>
        </is>
      </c>
      <c r="BC384" t="inlineStr">
        <is>
          <t>32285000600725</t>
        </is>
      </c>
      <c r="BD384" t="inlineStr">
        <is>
          <t>893230186</t>
        </is>
      </c>
    </row>
    <row r="385">
      <c r="A385" t="inlineStr">
        <is>
          <t>No</t>
        </is>
      </c>
      <c r="B385" t="inlineStr">
        <is>
          <t>BF315 .A67 1984</t>
        </is>
      </c>
      <c r="C385" t="inlineStr">
        <is>
          <t>0                      BF 0315000A  67          1984</t>
        </is>
      </c>
      <c r="D385" t="inlineStr">
        <is>
          <t>Consciousness and the unconscious / David Archard.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Archard, David.</t>
        </is>
      </c>
      <c r="L385" t="inlineStr">
        <is>
          <t>La Salle, Ill. : Open Court Pub. Co., 1984.</t>
        </is>
      </c>
      <c r="M385" t="inlineStr">
        <is>
          <t>1984</t>
        </is>
      </c>
      <c r="O385" t="inlineStr">
        <is>
          <t>eng</t>
        </is>
      </c>
      <c r="P385" t="inlineStr">
        <is>
          <t>ilu</t>
        </is>
      </c>
      <c r="Q385" t="inlineStr">
        <is>
          <t>Problems of modern European thought</t>
        </is>
      </c>
      <c r="R385" t="inlineStr">
        <is>
          <t xml:space="preserve">BF </t>
        </is>
      </c>
      <c r="S385" t="n">
        <v>5</v>
      </c>
      <c r="T385" t="n">
        <v>5</v>
      </c>
      <c r="U385" t="inlineStr">
        <is>
          <t>2010-11-19</t>
        </is>
      </c>
      <c r="V385" t="inlineStr">
        <is>
          <t>2010-11-19</t>
        </is>
      </c>
      <c r="W385" t="inlineStr">
        <is>
          <t>1990-03-21</t>
        </is>
      </c>
      <c r="X385" t="inlineStr">
        <is>
          <t>1990-03-21</t>
        </is>
      </c>
      <c r="Y385" t="n">
        <v>249</v>
      </c>
      <c r="Z385" t="n">
        <v>214</v>
      </c>
      <c r="AA385" t="n">
        <v>230</v>
      </c>
      <c r="AB385" t="n">
        <v>2</v>
      </c>
      <c r="AC385" t="n">
        <v>3</v>
      </c>
      <c r="AD385" t="n">
        <v>14</v>
      </c>
      <c r="AE385" t="n">
        <v>15</v>
      </c>
      <c r="AF385" t="n">
        <v>5</v>
      </c>
      <c r="AG385" t="n">
        <v>5</v>
      </c>
      <c r="AH385" t="n">
        <v>4</v>
      </c>
      <c r="AI385" t="n">
        <v>4</v>
      </c>
      <c r="AJ385" t="n">
        <v>10</v>
      </c>
      <c r="AK385" t="n">
        <v>10</v>
      </c>
      <c r="AL385" t="n">
        <v>1</v>
      </c>
      <c r="AM385" t="n">
        <v>2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HYPERLINK("http://catalog.hathitrust.org/Record/000461564","HathiTrust Record")</f>
        <v/>
      </c>
      <c r="AS385">
        <f>HYPERLINK("https://creighton-primo.hosted.exlibrisgroup.com/primo-explore/search?tab=default_tab&amp;search_scope=EVERYTHING&amp;vid=01CRU&amp;lang=en_US&amp;offset=0&amp;query=any,contains,991000445569702656","Catalog Record")</f>
        <v/>
      </c>
      <c r="AT385">
        <f>HYPERLINK("http://www.worldcat.org/oclc/10850386","WorldCat Record")</f>
        <v/>
      </c>
      <c r="AU385" t="inlineStr">
        <is>
          <t>2832751:eng</t>
        </is>
      </c>
      <c r="AV385" t="inlineStr">
        <is>
          <t>10850386</t>
        </is>
      </c>
      <c r="AW385" t="inlineStr">
        <is>
          <t>991000445569702656</t>
        </is>
      </c>
      <c r="AX385" t="inlineStr">
        <is>
          <t>991000445569702656</t>
        </is>
      </c>
      <c r="AY385" t="inlineStr">
        <is>
          <t>2268947650002656</t>
        </is>
      </c>
      <c r="AZ385" t="inlineStr">
        <is>
          <t>BOOK</t>
        </is>
      </c>
      <c r="BB385" t="inlineStr">
        <is>
          <t>9780875484358</t>
        </is>
      </c>
      <c r="BC385" t="inlineStr">
        <is>
          <t>32285000088764</t>
        </is>
      </c>
      <c r="BD385" t="inlineStr">
        <is>
          <t>893508778</t>
        </is>
      </c>
    </row>
    <row r="386">
      <c r="A386" t="inlineStr">
        <is>
          <t>No</t>
        </is>
      </c>
      <c r="B386" t="inlineStr">
        <is>
          <t>BF315 .C27 1984</t>
        </is>
      </c>
      <c r="C386" t="inlineStr">
        <is>
          <t>0                      BF 0315000C  27          1984</t>
        </is>
      </c>
      <c r="D386" t="inlineStr">
        <is>
          <t>Guide to the unconscious / Natalino Caputi.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Caputi, Natalino.</t>
        </is>
      </c>
      <c r="L386" t="inlineStr">
        <is>
          <t>Birmingham, Ala. : Religious Education Press, 1984.</t>
        </is>
      </c>
      <c r="M386" t="inlineStr">
        <is>
          <t>1984</t>
        </is>
      </c>
      <c r="O386" t="inlineStr">
        <is>
          <t>eng</t>
        </is>
      </c>
      <c r="P386" t="inlineStr">
        <is>
          <t>alu</t>
        </is>
      </c>
      <c r="R386" t="inlineStr">
        <is>
          <t xml:space="preserve">BF </t>
        </is>
      </c>
      <c r="S386" t="n">
        <v>4</v>
      </c>
      <c r="T386" t="n">
        <v>4</v>
      </c>
      <c r="U386" t="inlineStr">
        <is>
          <t>2000-11-21</t>
        </is>
      </c>
      <c r="V386" t="inlineStr">
        <is>
          <t>2000-11-21</t>
        </is>
      </c>
      <c r="W386" t="inlineStr">
        <is>
          <t>1991-05-02</t>
        </is>
      </c>
      <c r="X386" t="inlineStr">
        <is>
          <t>1991-05-02</t>
        </is>
      </c>
      <c r="Y386" t="n">
        <v>247</v>
      </c>
      <c r="Z386" t="n">
        <v>215</v>
      </c>
      <c r="AA386" t="n">
        <v>220</v>
      </c>
      <c r="AB386" t="n">
        <v>2</v>
      </c>
      <c r="AC386" t="n">
        <v>2</v>
      </c>
      <c r="AD386" t="n">
        <v>16</v>
      </c>
      <c r="AE386" t="n">
        <v>16</v>
      </c>
      <c r="AF386" t="n">
        <v>8</v>
      </c>
      <c r="AG386" t="n">
        <v>8</v>
      </c>
      <c r="AH386" t="n">
        <v>2</v>
      </c>
      <c r="AI386" t="n">
        <v>2</v>
      </c>
      <c r="AJ386" t="n">
        <v>11</v>
      </c>
      <c r="AK386" t="n">
        <v>11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No</t>
        </is>
      </c>
      <c r="AS386">
        <f>HYPERLINK("https://creighton-primo.hosted.exlibrisgroup.com/primo-explore/search?tab=default_tab&amp;search_scope=EVERYTHING&amp;vid=01CRU&amp;lang=en_US&amp;offset=0&amp;query=any,contains,991000336409702656","Catalog Record")</f>
        <v/>
      </c>
      <c r="AT386">
        <f>HYPERLINK("http://www.worldcat.org/oclc/10229993","WorldCat Record")</f>
        <v/>
      </c>
      <c r="AU386" t="inlineStr">
        <is>
          <t>2763298022:eng</t>
        </is>
      </c>
      <c r="AV386" t="inlineStr">
        <is>
          <t>10229993</t>
        </is>
      </c>
      <c r="AW386" t="inlineStr">
        <is>
          <t>991000336409702656</t>
        </is>
      </c>
      <c r="AX386" t="inlineStr">
        <is>
          <t>991000336409702656</t>
        </is>
      </c>
      <c r="AY386" t="inlineStr">
        <is>
          <t>2262231270002656</t>
        </is>
      </c>
      <c r="AZ386" t="inlineStr">
        <is>
          <t>BOOK</t>
        </is>
      </c>
      <c r="BB386" t="inlineStr">
        <is>
          <t>9780891350422</t>
        </is>
      </c>
      <c r="BC386" t="inlineStr">
        <is>
          <t>32285000600931</t>
        </is>
      </c>
      <c r="BD386" t="inlineStr">
        <is>
          <t>893249253</t>
        </is>
      </c>
    </row>
    <row r="387">
      <c r="A387" t="inlineStr">
        <is>
          <t>No</t>
        </is>
      </c>
      <c r="B387" t="inlineStr">
        <is>
          <t>BF315 .M23 1976</t>
        </is>
      </c>
      <c r="C387" t="inlineStr">
        <is>
          <t>0                      BF 0315000M  23          1976</t>
        </is>
      </c>
      <c r="D387" t="inlineStr">
        <is>
          <t>The unconscious : a conceptual analysis / by A. C. MacIntyre.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Yes</t>
        </is>
      </c>
      <c r="J387" t="inlineStr">
        <is>
          <t>0</t>
        </is>
      </c>
      <c r="K387" t="inlineStr">
        <is>
          <t>MacIntyre, Alasdair C.</t>
        </is>
      </c>
      <c r="L387" t="inlineStr">
        <is>
          <t>London : Routledge and Kegan Paul ; Atlantic Highlands [N.J.] : Humanities Press, 1976, c1958.</t>
        </is>
      </c>
      <c r="M387" t="inlineStr">
        <is>
          <t>1976</t>
        </is>
      </c>
      <c r="O387" t="inlineStr">
        <is>
          <t>eng</t>
        </is>
      </c>
      <c r="P387" t="inlineStr">
        <is>
          <t>enk</t>
        </is>
      </c>
      <c r="Q387" t="inlineStr">
        <is>
          <t>Studies in philosophical psychology</t>
        </is>
      </c>
      <c r="R387" t="inlineStr">
        <is>
          <t xml:space="preserve">BF </t>
        </is>
      </c>
      <c r="S387" t="n">
        <v>4</v>
      </c>
      <c r="T387" t="n">
        <v>4</v>
      </c>
      <c r="U387" t="inlineStr">
        <is>
          <t>2000-12-06</t>
        </is>
      </c>
      <c r="V387" t="inlineStr">
        <is>
          <t>2000-12-06</t>
        </is>
      </c>
      <c r="W387" t="inlineStr">
        <is>
          <t>1990-03-20</t>
        </is>
      </c>
      <c r="X387" t="inlineStr">
        <is>
          <t>1990-03-20</t>
        </is>
      </c>
      <c r="Y387" t="n">
        <v>83</v>
      </c>
      <c r="Z387" t="n">
        <v>41</v>
      </c>
      <c r="AA387" t="n">
        <v>1288</v>
      </c>
      <c r="AB387" t="n">
        <v>1</v>
      </c>
      <c r="AC387" t="n">
        <v>14</v>
      </c>
      <c r="AD387" t="n">
        <v>2</v>
      </c>
      <c r="AE387" t="n">
        <v>58</v>
      </c>
      <c r="AF387" t="n">
        <v>1</v>
      </c>
      <c r="AG387" t="n">
        <v>21</v>
      </c>
      <c r="AH387" t="n">
        <v>1</v>
      </c>
      <c r="AI387" t="n">
        <v>11</v>
      </c>
      <c r="AJ387" t="n">
        <v>1</v>
      </c>
      <c r="AK387" t="n">
        <v>23</v>
      </c>
      <c r="AL387" t="n">
        <v>0</v>
      </c>
      <c r="AM387" t="n">
        <v>12</v>
      </c>
      <c r="AN387" t="n">
        <v>0</v>
      </c>
      <c r="AO387" t="n">
        <v>2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HYPERLINK("https://creighton-primo.hosted.exlibrisgroup.com/primo-explore/search?tab=default_tab&amp;search_scope=EVERYTHING&amp;vid=01CRU&amp;lang=en_US&amp;offset=0&amp;query=any,contains,991004488329702656","Catalog Record")</f>
        <v/>
      </c>
      <c r="AT387">
        <f>HYPERLINK("http://www.worldcat.org/oclc/3650170","WorldCat Record")</f>
        <v/>
      </c>
      <c r="AU387" t="inlineStr">
        <is>
          <t>693246:eng</t>
        </is>
      </c>
      <c r="AV387" t="inlineStr">
        <is>
          <t>3650170</t>
        </is>
      </c>
      <c r="AW387" t="inlineStr">
        <is>
          <t>991004488329702656</t>
        </is>
      </c>
      <c r="AX387" t="inlineStr">
        <is>
          <t>991004488329702656</t>
        </is>
      </c>
      <c r="AY387" t="inlineStr">
        <is>
          <t>2260958090002656</t>
        </is>
      </c>
      <c r="AZ387" t="inlineStr">
        <is>
          <t>BOOK</t>
        </is>
      </c>
      <c r="BB387" t="inlineStr">
        <is>
          <t>9780710038340</t>
        </is>
      </c>
      <c r="BC387" t="inlineStr">
        <is>
          <t>32285000086834</t>
        </is>
      </c>
      <c r="BD387" t="inlineStr">
        <is>
          <t>893423869</t>
        </is>
      </c>
    </row>
    <row r="388">
      <c r="A388" t="inlineStr">
        <is>
          <t>No</t>
        </is>
      </c>
      <c r="B388" t="inlineStr">
        <is>
          <t>BF315 .M33 1955a</t>
        </is>
      </c>
      <c r="C388" t="inlineStr">
        <is>
          <t>0                      BF 0315000M  33          1955a</t>
        </is>
      </c>
      <c r="D388" t="inlineStr">
        <is>
          <t>Experiment in depth : a study of the work of Jung, Eliot and Toynbee / by P.W. Martin.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Martin, P. W. (Percival William), 1893-1972.</t>
        </is>
      </c>
      <c r="L388" t="inlineStr">
        <is>
          <t>London : Routledge &amp; Kegan Paul, [1955, 1960]</t>
        </is>
      </c>
      <c r="M388" t="inlineStr">
        <is>
          <t>1955</t>
        </is>
      </c>
      <c r="O388" t="inlineStr">
        <is>
          <t>eng</t>
        </is>
      </c>
      <c r="P388" t="inlineStr">
        <is>
          <t>enk</t>
        </is>
      </c>
      <c r="R388" t="inlineStr">
        <is>
          <t xml:space="preserve">BF </t>
        </is>
      </c>
      <c r="S388" t="n">
        <v>2</v>
      </c>
      <c r="T388" t="n">
        <v>2</v>
      </c>
      <c r="U388" t="inlineStr">
        <is>
          <t>2002-10-16</t>
        </is>
      </c>
      <c r="V388" t="inlineStr">
        <is>
          <t>2002-10-16</t>
        </is>
      </c>
      <c r="W388" t="inlineStr">
        <is>
          <t>1996-07-26</t>
        </is>
      </c>
      <c r="X388" t="inlineStr">
        <is>
          <t>1996-07-26</t>
        </is>
      </c>
      <c r="Y388" t="n">
        <v>379</v>
      </c>
      <c r="Z388" t="n">
        <v>300</v>
      </c>
      <c r="AA388" t="n">
        <v>585</v>
      </c>
      <c r="AB388" t="n">
        <v>2</v>
      </c>
      <c r="AC388" t="n">
        <v>3</v>
      </c>
      <c r="AD388" t="n">
        <v>11</v>
      </c>
      <c r="AE388" t="n">
        <v>22</v>
      </c>
      <c r="AF388" t="n">
        <v>5</v>
      </c>
      <c r="AG388" t="n">
        <v>7</v>
      </c>
      <c r="AH388" t="n">
        <v>2</v>
      </c>
      <c r="AI388" t="n">
        <v>6</v>
      </c>
      <c r="AJ388" t="n">
        <v>5</v>
      </c>
      <c r="AK388" t="n">
        <v>14</v>
      </c>
      <c r="AL388" t="n">
        <v>1</v>
      </c>
      <c r="AM388" t="n">
        <v>1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HYPERLINK("http://catalog.hathitrust.org/Record/000355227","HathiTrust Record")</f>
        <v/>
      </c>
      <c r="AS388">
        <f>HYPERLINK("https://creighton-primo.hosted.exlibrisgroup.com/primo-explore/search?tab=default_tab&amp;search_scope=EVERYTHING&amp;vid=01CRU&amp;lang=en_US&amp;offset=0&amp;query=any,contains,991001997689702656","Catalog Record")</f>
        <v/>
      </c>
      <c r="AT388">
        <f>HYPERLINK("http://www.worldcat.org/oclc/25398036","WorldCat Record")</f>
        <v/>
      </c>
      <c r="AU388" t="inlineStr">
        <is>
          <t>45636:eng</t>
        </is>
      </c>
      <c r="AV388" t="inlineStr">
        <is>
          <t>25398036</t>
        </is>
      </c>
      <c r="AW388" t="inlineStr">
        <is>
          <t>991001997689702656</t>
        </is>
      </c>
      <c r="AX388" t="inlineStr">
        <is>
          <t>991001997689702656</t>
        </is>
      </c>
      <c r="AY388" t="inlineStr">
        <is>
          <t>2256806910002656</t>
        </is>
      </c>
      <c r="AZ388" t="inlineStr">
        <is>
          <t>BOOK</t>
        </is>
      </c>
      <c r="BC388" t="inlineStr">
        <is>
          <t>32285002246667</t>
        </is>
      </c>
      <c r="BD388" t="inlineStr">
        <is>
          <t>893427096</t>
        </is>
      </c>
    </row>
    <row r="389">
      <c r="A389" t="inlineStr">
        <is>
          <t>No</t>
        </is>
      </c>
      <c r="B389" t="inlineStr">
        <is>
          <t>BF317 .R34</t>
        </is>
      </c>
      <c r="C389" t="inlineStr">
        <is>
          <t>0                      BF 0317000R  34</t>
        </is>
      </c>
      <c r="D389" t="inlineStr">
        <is>
          <t>Reaction times / edited by A.T. Welford ; with contributions by J.M.T. Brebner ... [et al.].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L389" t="inlineStr">
        <is>
          <t>London ; New York : Academic Press, 1980.</t>
        </is>
      </c>
      <c r="M389" t="inlineStr">
        <is>
          <t>1980</t>
        </is>
      </c>
      <c r="O389" t="inlineStr">
        <is>
          <t>eng</t>
        </is>
      </c>
      <c r="P389" t="inlineStr">
        <is>
          <t>enk</t>
        </is>
      </c>
      <c r="R389" t="inlineStr">
        <is>
          <t xml:space="preserve">BF </t>
        </is>
      </c>
      <c r="S389" t="n">
        <v>6</v>
      </c>
      <c r="T389" t="n">
        <v>6</v>
      </c>
      <c r="U389" t="inlineStr">
        <is>
          <t>1998-03-20</t>
        </is>
      </c>
      <c r="V389" t="inlineStr">
        <is>
          <t>1998-03-20</t>
        </is>
      </c>
      <c r="W389" t="inlineStr">
        <is>
          <t>1991-05-02</t>
        </is>
      </c>
      <c r="X389" t="inlineStr">
        <is>
          <t>1991-05-02</t>
        </is>
      </c>
      <c r="Y389" t="n">
        <v>334</v>
      </c>
      <c r="Z389" t="n">
        <v>210</v>
      </c>
      <c r="AA389" t="n">
        <v>213</v>
      </c>
      <c r="AB389" t="n">
        <v>2</v>
      </c>
      <c r="AC389" t="n">
        <v>2</v>
      </c>
      <c r="AD389" t="n">
        <v>7</v>
      </c>
      <c r="AE389" t="n">
        <v>7</v>
      </c>
      <c r="AF389" t="n">
        <v>2</v>
      </c>
      <c r="AG389" t="n">
        <v>2</v>
      </c>
      <c r="AH389" t="n">
        <v>3</v>
      </c>
      <c r="AI389" t="n">
        <v>3</v>
      </c>
      <c r="AJ389" t="n">
        <v>4</v>
      </c>
      <c r="AK389" t="n">
        <v>4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HYPERLINK("http://catalog.hathitrust.org/Record/000323941","HathiTrust Record")</f>
        <v/>
      </c>
      <c r="AS389">
        <f>HYPERLINK("https://creighton-primo.hosted.exlibrisgroup.com/primo-explore/search?tab=default_tab&amp;search_scope=EVERYTHING&amp;vid=01CRU&amp;lang=en_US&amp;offset=0&amp;query=any,contains,991005030149702656","Catalog Record")</f>
        <v/>
      </c>
      <c r="AT389">
        <f>HYPERLINK("http://www.worldcat.org/oclc/6709138","WorldCat Record")</f>
        <v/>
      </c>
      <c r="AU389" t="inlineStr">
        <is>
          <t>375455817:eng</t>
        </is>
      </c>
      <c r="AV389" t="inlineStr">
        <is>
          <t>6709138</t>
        </is>
      </c>
      <c r="AW389" t="inlineStr">
        <is>
          <t>991005030149702656</t>
        </is>
      </c>
      <c r="AX389" t="inlineStr">
        <is>
          <t>991005030149702656</t>
        </is>
      </c>
      <c r="AY389" t="inlineStr">
        <is>
          <t>2256523820002656</t>
        </is>
      </c>
      <c r="AZ389" t="inlineStr">
        <is>
          <t>BOOK</t>
        </is>
      </c>
      <c r="BB389" t="inlineStr">
        <is>
          <t>9780127428802</t>
        </is>
      </c>
      <c r="BC389" t="inlineStr">
        <is>
          <t>32285000600956</t>
        </is>
      </c>
      <c r="BD389" t="inlineStr">
        <is>
          <t>893876830</t>
        </is>
      </c>
    </row>
    <row r="390">
      <c r="A390" t="inlineStr">
        <is>
          <t>No</t>
        </is>
      </c>
      <c r="B390" t="inlineStr">
        <is>
          <t>BF318 .A47 1989</t>
        </is>
      </c>
      <c r="C390" t="inlineStr">
        <is>
          <t>0                      BF 0318000A  47          1989</t>
        </is>
      </c>
      <c r="D390" t="inlineStr">
        <is>
          <t>Behaviorism, neobehaviorism, and cognitivism in learning theory : historical and contemporary perspectives / Abram Amsel.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Amsel, Abram.</t>
        </is>
      </c>
      <c r="L390" t="inlineStr">
        <is>
          <t>Hillsdale, N.J. : L. Erlbaum Associates, 1989.</t>
        </is>
      </c>
      <c r="M390" t="inlineStr">
        <is>
          <t>1988</t>
        </is>
      </c>
      <c r="O390" t="inlineStr">
        <is>
          <t>eng</t>
        </is>
      </c>
      <c r="P390" t="inlineStr">
        <is>
          <t>nju</t>
        </is>
      </c>
      <c r="Q390" t="inlineStr">
        <is>
          <t>MacEachran memorial lecture series</t>
        </is>
      </c>
      <c r="R390" t="inlineStr">
        <is>
          <t xml:space="preserve">BF </t>
        </is>
      </c>
      <c r="S390" t="n">
        <v>7</v>
      </c>
      <c r="T390" t="n">
        <v>7</v>
      </c>
      <c r="U390" t="inlineStr">
        <is>
          <t>2009-03-05</t>
        </is>
      </c>
      <c r="V390" t="inlineStr">
        <is>
          <t>2009-03-05</t>
        </is>
      </c>
      <c r="W390" t="inlineStr">
        <is>
          <t>1990-02-09</t>
        </is>
      </c>
      <c r="X390" t="inlineStr">
        <is>
          <t>1990-02-09</t>
        </is>
      </c>
      <c r="Y390" t="n">
        <v>426</v>
      </c>
      <c r="Z390" t="n">
        <v>340</v>
      </c>
      <c r="AA390" t="n">
        <v>347</v>
      </c>
      <c r="AB390" t="n">
        <v>5</v>
      </c>
      <c r="AC390" t="n">
        <v>5</v>
      </c>
      <c r="AD390" t="n">
        <v>19</v>
      </c>
      <c r="AE390" t="n">
        <v>19</v>
      </c>
      <c r="AF390" t="n">
        <v>3</v>
      </c>
      <c r="AG390" t="n">
        <v>3</v>
      </c>
      <c r="AH390" t="n">
        <v>6</v>
      </c>
      <c r="AI390" t="n">
        <v>6</v>
      </c>
      <c r="AJ390" t="n">
        <v>11</v>
      </c>
      <c r="AK390" t="n">
        <v>11</v>
      </c>
      <c r="AL390" t="n">
        <v>4</v>
      </c>
      <c r="AM390" t="n">
        <v>4</v>
      </c>
      <c r="AN390" t="n">
        <v>0</v>
      </c>
      <c r="AO390" t="n">
        <v>0</v>
      </c>
      <c r="AP390" t="inlineStr">
        <is>
          <t>No</t>
        </is>
      </c>
      <c r="AQ390" t="inlineStr">
        <is>
          <t>Yes</t>
        </is>
      </c>
      <c r="AR390">
        <f>HYPERLINK("http://catalog.hathitrust.org/Record/001098917","HathiTrust Record")</f>
        <v/>
      </c>
      <c r="AS390">
        <f>HYPERLINK("https://creighton-primo.hosted.exlibrisgroup.com/primo-explore/search?tab=default_tab&amp;search_scope=EVERYTHING&amp;vid=01CRU&amp;lang=en_US&amp;offset=0&amp;query=any,contains,991001280909702656","Catalog Record")</f>
        <v/>
      </c>
      <c r="AT390">
        <f>HYPERLINK("http://www.worldcat.org/oclc/17917400","WorldCat Record")</f>
        <v/>
      </c>
      <c r="AU390" t="inlineStr">
        <is>
          <t>16509998:eng</t>
        </is>
      </c>
      <c r="AV390" t="inlineStr">
        <is>
          <t>17917400</t>
        </is>
      </c>
      <c r="AW390" t="inlineStr">
        <is>
          <t>991001280909702656</t>
        </is>
      </c>
      <c r="AX390" t="inlineStr">
        <is>
          <t>991001280909702656</t>
        </is>
      </c>
      <c r="AY390" t="inlineStr">
        <is>
          <t>2270057780002656</t>
        </is>
      </c>
      <c r="AZ390" t="inlineStr">
        <is>
          <t>BOOK</t>
        </is>
      </c>
      <c r="BB390" t="inlineStr">
        <is>
          <t>9780805803327</t>
        </is>
      </c>
      <c r="BC390" t="inlineStr">
        <is>
          <t>32285000034966</t>
        </is>
      </c>
      <c r="BD390" t="inlineStr">
        <is>
          <t>893250118</t>
        </is>
      </c>
    </row>
    <row r="391">
      <c r="A391" t="inlineStr">
        <is>
          <t>No</t>
        </is>
      </c>
      <c r="B391" t="inlineStr">
        <is>
          <t>BF318 .B68 1989</t>
        </is>
      </c>
      <c r="C391" t="inlineStr">
        <is>
          <t>0                      BF 0318000B  68          1989</t>
        </is>
      </c>
      <c r="D391" t="inlineStr">
        <is>
          <t>The rational infant : learning in infancy / T.G.R. Bower.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Bower, T. G. R., 1941-</t>
        </is>
      </c>
      <c r="L391" t="inlineStr">
        <is>
          <t>New York, N.Y. : W.H. Freeman, c1989.</t>
        </is>
      </c>
      <c r="M391" t="inlineStr">
        <is>
          <t>1989</t>
        </is>
      </c>
      <c r="O391" t="inlineStr">
        <is>
          <t>eng</t>
        </is>
      </c>
      <c r="P391" t="inlineStr">
        <is>
          <t>nyu</t>
        </is>
      </c>
      <c r="Q391" t="inlineStr">
        <is>
          <t>A Series of books in psychology</t>
        </is>
      </c>
      <c r="R391" t="inlineStr">
        <is>
          <t xml:space="preserve">BF </t>
        </is>
      </c>
      <c r="S391" t="n">
        <v>4</v>
      </c>
      <c r="T391" t="n">
        <v>4</v>
      </c>
      <c r="U391" t="inlineStr">
        <is>
          <t>2002-11-19</t>
        </is>
      </c>
      <c r="V391" t="inlineStr">
        <is>
          <t>2002-11-19</t>
        </is>
      </c>
      <c r="W391" t="inlineStr">
        <is>
          <t>1989-10-20</t>
        </is>
      </c>
      <c r="X391" t="inlineStr">
        <is>
          <t>1989-10-20</t>
        </is>
      </c>
      <c r="Y391" t="n">
        <v>822</v>
      </c>
      <c r="Z391" t="n">
        <v>668</v>
      </c>
      <c r="AA391" t="n">
        <v>668</v>
      </c>
      <c r="AB391" t="n">
        <v>7</v>
      </c>
      <c r="AC391" t="n">
        <v>7</v>
      </c>
      <c r="AD391" t="n">
        <v>33</v>
      </c>
      <c r="AE391" t="n">
        <v>33</v>
      </c>
      <c r="AF391" t="n">
        <v>13</v>
      </c>
      <c r="AG391" t="n">
        <v>13</v>
      </c>
      <c r="AH391" t="n">
        <v>6</v>
      </c>
      <c r="AI391" t="n">
        <v>6</v>
      </c>
      <c r="AJ391" t="n">
        <v>17</v>
      </c>
      <c r="AK391" t="n">
        <v>17</v>
      </c>
      <c r="AL391" t="n">
        <v>6</v>
      </c>
      <c r="AM391" t="n">
        <v>6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HYPERLINK("https://creighton-primo.hosted.exlibrisgroup.com/primo-explore/search?tab=default_tab&amp;search_scope=EVERYTHING&amp;vid=01CRU&amp;lang=en_US&amp;offset=0&amp;query=any,contains,991001386159702656","Catalog Record")</f>
        <v/>
      </c>
      <c r="AT391">
        <f>HYPERLINK("http://www.worldcat.org/oclc/18716026","WorldCat Record")</f>
        <v/>
      </c>
      <c r="AU391" t="inlineStr">
        <is>
          <t>18362542:eng</t>
        </is>
      </c>
      <c r="AV391" t="inlineStr">
        <is>
          <t>18716026</t>
        </is>
      </c>
      <c r="AW391" t="inlineStr">
        <is>
          <t>991001386159702656</t>
        </is>
      </c>
      <c r="AX391" t="inlineStr">
        <is>
          <t>991001386159702656</t>
        </is>
      </c>
      <c r="AY391" t="inlineStr">
        <is>
          <t>2262647400002656</t>
        </is>
      </c>
      <c r="AZ391" t="inlineStr">
        <is>
          <t>BOOK</t>
        </is>
      </c>
      <c r="BB391" t="inlineStr">
        <is>
          <t>9780716720072</t>
        </is>
      </c>
      <c r="BC391" t="inlineStr">
        <is>
          <t>32285000001528</t>
        </is>
      </c>
      <c r="BD391" t="inlineStr">
        <is>
          <t>893809051</t>
        </is>
      </c>
    </row>
    <row r="392">
      <c r="A392" t="inlineStr">
        <is>
          <t>No</t>
        </is>
      </c>
      <c r="B392" t="inlineStr">
        <is>
          <t>BF318 .G34</t>
        </is>
      </c>
      <c r="C392" t="inlineStr">
        <is>
          <t>0                      BF 0318000G  34</t>
        </is>
      </c>
      <c r="D392" t="inlineStr">
        <is>
          <t>The learning theory of Piaget and Inhelder / Jeanette McCarthy Gallagher, D. Kim Reid.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Gallagher, Jeanette McCarthy, 1932-</t>
        </is>
      </c>
      <c r="L392" t="inlineStr">
        <is>
          <t>Monterey, Calif. : Brooks/Cole Pub. Co., c1981.</t>
        </is>
      </c>
      <c r="M392" t="inlineStr">
        <is>
          <t>1981</t>
        </is>
      </c>
      <c r="O392" t="inlineStr">
        <is>
          <t>eng</t>
        </is>
      </c>
      <c r="P392" t="inlineStr">
        <is>
          <t>cau</t>
        </is>
      </c>
      <c r="R392" t="inlineStr">
        <is>
          <t xml:space="preserve">BF </t>
        </is>
      </c>
      <c r="S392" t="n">
        <v>5</v>
      </c>
      <c r="T392" t="n">
        <v>5</v>
      </c>
      <c r="U392" t="inlineStr">
        <is>
          <t>1997-03-17</t>
        </is>
      </c>
      <c r="V392" t="inlineStr">
        <is>
          <t>1997-03-17</t>
        </is>
      </c>
      <c r="W392" t="inlineStr">
        <is>
          <t>1991-11-05</t>
        </is>
      </c>
      <c r="X392" t="inlineStr">
        <is>
          <t>1991-11-05</t>
        </is>
      </c>
      <c r="Y392" t="n">
        <v>463</v>
      </c>
      <c r="Z392" t="n">
        <v>385</v>
      </c>
      <c r="AA392" t="n">
        <v>505</v>
      </c>
      <c r="AB392" t="n">
        <v>3</v>
      </c>
      <c r="AC392" t="n">
        <v>3</v>
      </c>
      <c r="AD392" t="n">
        <v>20</v>
      </c>
      <c r="AE392" t="n">
        <v>22</v>
      </c>
      <c r="AF392" t="n">
        <v>9</v>
      </c>
      <c r="AG392" t="n">
        <v>11</v>
      </c>
      <c r="AH392" t="n">
        <v>4</v>
      </c>
      <c r="AI392" t="n">
        <v>4</v>
      </c>
      <c r="AJ392" t="n">
        <v>9</v>
      </c>
      <c r="AK392" t="n">
        <v>9</v>
      </c>
      <c r="AL392" t="n">
        <v>2</v>
      </c>
      <c r="AM392" t="n">
        <v>2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HYPERLINK("http://catalog.hathitrust.org/Record/000099360","HathiTrust Record")</f>
        <v/>
      </c>
      <c r="AS392">
        <f>HYPERLINK("https://creighton-primo.hosted.exlibrisgroup.com/primo-explore/search?tab=default_tab&amp;search_scope=EVERYTHING&amp;vid=01CRU&amp;lang=en_US&amp;offset=0&amp;query=any,contains,991005043039702656","Catalog Record")</f>
        <v/>
      </c>
      <c r="AT392">
        <f>HYPERLINK("http://www.worldcat.org/oclc/6813090","WorldCat Record")</f>
        <v/>
      </c>
      <c r="AU392" t="inlineStr">
        <is>
          <t>3082123:eng</t>
        </is>
      </c>
      <c r="AV392" t="inlineStr">
        <is>
          <t>6813090</t>
        </is>
      </c>
      <c r="AW392" t="inlineStr">
        <is>
          <t>991005043039702656</t>
        </is>
      </c>
      <c r="AX392" t="inlineStr">
        <is>
          <t>991005043039702656</t>
        </is>
      </c>
      <c r="AY392" t="inlineStr">
        <is>
          <t>2268264480002656</t>
        </is>
      </c>
      <c r="AZ392" t="inlineStr">
        <is>
          <t>BOOK</t>
        </is>
      </c>
      <c r="BB392" t="inlineStr">
        <is>
          <t>9780818503436</t>
        </is>
      </c>
      <c r="BC392" t="inlineStr">
        <is>
          <t>32285000795798</t>
        </is>
      </c>
      <c r="BD392" t="inlineStr">
        <is>
          <t>893260467</t>
        </is>
      </c>
    </row>
    <row r="393">
      <c r="A393" t="inlineStr">
        <is>
          <t>No</t>
        </is>
      </c>
      <c r="B393" t="inlineStr">
        <is>
          <t>BF318 .H56</t>
        </is>
      </c>
      <c r="C393" t="inlineStr">
        <is>
          <t>0                      BF 0318000H  56</t>
        </is>
      </c>
      <c r="D393" t="inlineStr">
        <is>
          <t>The psychology of learning and memory / Douglas L. Hintzman. --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Hintzman, Douglas L.</t>
        </is>
      </c>
      <c r="L393" t="inlineStr">
        <is>
          <t>San Francisco : W. H. Freeman, c1978.</t>
        </is>
      </c>
      <c r="M393" t="inlineStr">
        <is>
          <t>1978</t>
        </is>
      </c>
      <c r="O393" t="inlineStr">
        <is>
          <t>eng</t>
        </is>
      </c>
      <c r="P393" t="inlineStr">
        <is>
          <t>cau</t>
        </is>
      </c>
      <c r="Q393" t="inlineStr">
        <is>
          <t>A Series of books in psychology</t>
        </is>
      </c>
      <c r="R393" t="inlineStr">
        <is>
          <t xml:space="preserve">BF </t>
        </is>
      </c>
      <c r="S393" t="n">
        <v>4</v>
      </c>
      <c r="T393" t="n">
        <v>4</v>
      </c>
      <c r="U393" t="inlineStr">
        <is>
          <t>2004-12-14</t>
        </is>
      </c>
      <c r="V393" t="inlineStr">
        <is>
          <t>2004-12-14</t>
        </is>
      </c>
      <c r="W393" t="inlineStr">
        <is>
          <t>1990-02-06</t>
        </is>
      </c>
      <c r="X393" t="inlineStr">
        <is>
          <t>1990-02-06</t>
        </is>
      </c>
      <c r="Y393" t="n">
        <v>669</v>
      </c>
      <c r="Z393" t="n">
        <v>513</v>
      </c>
      <c r="AA393" t="n">
        <v>520</v>
      </c>
      <c r="AB393" t="n">
        <v>3</v>
      </c>
      <c r="AC393" t="n">
        <v>3</v>
      </c>
      <c r="AD393" t="n">
        <v>21</v>
      </c>
      <c r="AE393" t="n">
        <v>21</v>
      </c>
      <c r="AF393" t="n">
        <v>10</v>
      </c>
      <c r="AG393" t="n">
        <v>10</v>
      </c>
      <c r="AH393" t="n">
        <v>5</v>
      </c>
      <c r="AI393" t="n">
        <v>5</v>
      </c>
      <c r="AJ393" t="n">
        <v>10</v>
      </c>
      <c r="AK393" t="n">
        <v>10</v>
      </c>
      <c r="AL393" t="n">
        <v>1</v>
      </c>
      <c r="AM393" t="n">
        <v>1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HYPERLINK("https://creighton-primo.hosted.exlibrisgroup.com/primo-explore/search?tab=default_tab&amp;search_scope=EVERYTHING&amp;vid=01CRU&amp;lang=en_US&amp;offset=0&amp;query=any,contains,991004420439702656","Catalog Record")</f>
        <v/>
      </c>
      <c r="AT393">
        <f>HYPERLINK("http://www.worldcat.org/oclc/3380344","WorldCat Record")</f>
        <v/>
      </c>
      <c r="AU393" t="inlineStr">
        <is>
          <t>446960:eng</t>
        </is>
      </c>
      <c r="AV393" t="inlineStr">
        <is>
          <t>3380344</t>
        </is>
      </c>
      <c r="AW393" t="inlineStr">
        <is>
          <t>991004420439702656</t>
        </is>
      </c>
      <c r="AX393" t="inlineStr">
        <is>
          <t>991004420439702656</t>
        </is>
      </c>
      <c r="AY393" t="inlineStr">
        <is>
          <t>2272779300002656</t>
        </is>
      </c>
      <c r="AZ393" t="inlineStr">
        <is>
          <t>BOOK</t>
        </is>
      </c>
      <c r="BB393" t="inlineStr">
        <is>
          <t>9780716700357</t>
        </is>
      </c>
      <c r="BC393" t="inlineStr">
        <is>
          <t>32285000032929</t>
        </is>
      </c>
      <c r="BD393" t="inlineStr">
        <is>
          <t>893253671</t>
        </is>
      </c>
    </row>
    <row r="394">
      <c r="A394" t="inlineStr">
        <is>
          <t>No</t>
        </is>
      </c>
      <c r="B394" t="inlineStr">
        <is>
          <t>BF318 .H84 1980</t>
        </is>
      </c>
      <c r="C394" t="inlineStr">
        <is>
          <t>0                      BF 0318000H  84          1980</t>
        </is>
      </c>
      <c r="D394" t="inlineStr">
        <is>
          <t>The psychology of learning / Stewart H. Hulse, Howard Egeth, James Deese.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Hulse, Stewart H.</t>
        </is>
      </c>
      <c r="L394" t="inlineStr">
        <is>
          <t>New York : McGraw-Hill, c1980.</t>
        </is>
      </c>
      <c r="M394" t="inlineStr">
        <is>
          <t>1980</t>
        </is>
      </c>
      <c r="N394" t="inlineStr">
        <is>
          <t>5th ed.</t>
        </is>
      </c>
      <c r="O394" t="inlineStr">
        <is>
          <t>eng</t>
        </is>
      </c>
      <c r="P394" t="inlineStr">
        <is>
          <t>nyu</t>
        </is>
      </c>
      <c r="Q394" t="inlineStr">
        <is>
          <t>McGraw-Hill series in psychology</t>
        </is>
      </c>
      <c r="R394" t="inlineStr">
        <is>
          <t xml:space="preserve">BF </t>
        </is>
      </c>
      <c r="S394" t="n">
        <v>7</v>
      </c>
      <c r="T394" t="n">
        <v>7</v>
      </c>
      <c r="U394" t="inlineStr">
        <is>
          <t>1994-11-10</t>
        </is>
      </c>
      <c r="V394" t="inlineStr">
        <is>
          <t>1994-11-10</t>
        </is>
      </c>
      <c r="W394" t="inlineStr">
        <is>
          <t>1991-05-02</t>
        </is>
      </c>
      <c r="X394" t="inlineStr">
        <is>
          <t>1991-05-02</t>
        </is>
      </c>
      <c r="Y394" t="n">
        <v>389</v>
      </c>
      <c r="Z394" t="n">
        <v>227</v>
      </c>
      <c r="AA394" t="n">
        <v>899</v>
      </c>
      <c r="AB394" t="n">
        <v>3</v>
      </c>
      <c r="AC394" t="n">
        <v>9</v>
      </c>
      <c r="AD394" t="n">
        <v>13</v>
      </c>
      <c r="AE394" t="n">
        <v>40</v>
      </c>
      <c r="AF394" t="n">
        <v>7</v>
      </c>
      <c r="AG394" t="n">
        <v>19</v>
      </c>
      <c r="AH394" t="n">
        <v>1</v>
      </c>
      <c r="AI394" t="n">
        <v>6</v>
      </c>
      <c r="AJ394" t="n">
        <v>6</v>
      </c>
      <c r="AK394" t="n">
        <v>17</v>
      </c>
      <c r="AL394" t="n">
        <v>2</v>
      </c>
      <c r="AM394" t="n">
        <v>6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HYPERLINK("https://creighton-primo.hosted.exlibrisgroup.com/primo-explore/search?tab=default_tab&amp;search_scope=EVERYTHING&amp;vid=01CRU&amp;lang=en_US&amp;offset=0&amp;query=any,contains,991005214719702656","Catalog Record")</f>
        <v/>
      </c>
      <c r="AT394">
        <f>HYPERLINK("http://www.worldcat.org/oclc/5447694","WorldCat Record")</f>
        <v/>
      </c>
      <c r="AU394" t="inlineStr">
        <is>
          <t>1320898:eng</t>
        </is>
      </c>
      <c r="AV394" t="inlineStr">
        <is>
          <t>5447694</t>
        </is>
      </c>
      <c r="AW394" t="inlineStr">
        <is>
          <t>991005214719702656</t>
        </is>
      </c>
      <c r="AX394" t="inlineStr">
        <is>
          <t>991005214719702656</t>
        </is>
      </c>
      <c r="AY394" t="inlineStr">
        <is>
          <t>2259208990002656</t>
        </is>
      </c>
      <c r="AZ394" t="inlineStr">
        <is>
          <t>BOOK</t>
        </is>
      </c>
      <c r="BB394" t="inlineStr">
        <is>
          <t>9780070311510</t>
        </is>
      </c>
      <c r="BC394" t="inlineStr">
        <is>
          <t>32285000601012</t>
        </is>
      </c>
      <c r="BD394" t="inlineStr">
        <is>
          <t>893520648</t>
        </is>
      </c>
    </row>
    <row r="395">
      <c r="A395" t="inlineStr">
        <is>
          <t>No</t>
        </is>
      </c>
      <c r="B395" t="inlineStr">
        <is>
          <t>BF318 .R67</t>
        </is>
      </c>
      <c r="C395" t="inlineStr">
        <is>
          <t>0                      BF 0318000R  67</t>
        </is>
      </c>
      <c r="D395" t="inlineStr">
        <is>
          <t>Social learning and cognition / Ted L. Rosenthal, Barry J. Zimmerman.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Rosenthal, Ted L.</t>
        </is>
      </c>
      <c r="L395" t="inlineStr">
        <is>
          <t>New York : Academic Press, 1978.</t>
        </is>
      </c>
      <c r="M395" t="inlineStr">
        <is>
          <t>1978</t>
        </is>
      </c>
      <c r="O395" t="inlineStr">
        <is>
          <t>eng</t>
        </is>
      </c>
      <c r="P395" t="inlineStr">
        <is>
          <t>nyu</t>
        </is>
      </c>
      <c r="R395" t="inlineStr">
        <is>
          <t xml:space="preserve">BF </t>
        </is>
      </c>
      <c r="S395" t="n">
        <v>7</v>
      </c>
      <c r="T395" t="n">
        <v>7</v>
      </c>
      <c r="U395" t="inlineStr">
        <is>
          <t>1995-09-05</t>
        </is>
      </c>
      <c r="V395" t="inlineStr">
        <is>
          <t>1995-09-05</t>
        </is>
      </c>
      <c r="W395" t="inlineStr">
        <is>
          <t>1992-02-20</t>
        </is>
      </c>
      <c r="X395" t="inlineStr">
        <is>
          <t>1992-02-20</t>
        </is>
      </c>
      <c r="Y395" t="n">
        <v>693</v>
      </c>
      <c r="Z395" t="n">
        <v>497</v>
      </c>
      <c r="AA395" t="n">
        <v>529</v>
      </c>
      <c r="AB395" t="n">
        <v>5</v>
      </c>
      <c r="AC395" t="n">
        <v>5</v>
      </c>
      <c r="AD395" t="n">
        <v>28</v>
      </c>
      <c r="AE395" t="n">
        <v>29</v>
      </c>
      <c r="AF395" t="n">
        <v>10</v>
      </c>
      <c r="AG395" t="n">
        <v>11</v>
      </c>
      <c r="AH395" t="n">
        <v>8</v>
      </c>
      <c r="AI395" t="n">
        <v>8</v>
      </c>
      <c r="AJ395" t="n">
        <v>14</v>
      </c>
      <c r="AK395" t="n">
        <v>14</v>
      </c>
      <c r="AL395" t="n">
        <v>3</v>
      </c>
      <c r="AM395" t="n">
        <v>3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HYPERLINK("http://catalog.hathitrust.org/Record/000132675","HathiTrust Record")</f>
        <v/>
      </c>
      <c r="AS395">
        <f>HYPERLINK("https://creighton-primo.hosted.exlibrisgroup.com/primo-explore/search?tab=default_tab&amp;search_scope=EVERYTHING&amp;vid=01CRU&amp;lang=en_US&amp;offset=0&amp;query=any,contains,991004507879702656","Catalog Record")</f>
        <v/>
      </c>
      <c r="AT395">
        <f>HYPERLINK("http://www.worldcat.org/oclc/3748361","WorldCat Record")</f>
        <v/>
      </c>
      <c r="AU395" t="inlineStr">
        <is>
          <t>409684:eng</t>
        </is>
      </c>
      <c r="AV395" t="inlineStr">
        <is>
          <t>3748361</t>
        </is>
      </c>
      <c r="AW395" t="inlineStr">
        <is>
          <t>991004507879702656</t>
        </is>
      </c>
      <c r="AX395" t="inlineStr">
        <is>
          <t>991004507879702656</t>
        </is>
      </c>
      <c r="AY395" t="inlineStr">
        <is>
          <t>2269180730002656</t>
        </is>
      </c>
      <c r="AZ395" t="inlineStr">
        <is>
          <t>BOOK</t>
        </is>
      </c>
      <c r="BB395" t="inlineStr">
        <is>
          <t>9780125967501</t>
        </is>
      </c>
      <c r="BC395" t="inlineStr">
        <is>
          <t>32285000971753</t>
        </is>
      </c>
      <c r="BD395" t="inlineStr">
        <is>
          <t>893888800</t>
        </is>
      </c>
    </row>
    <row r="396">
      <c r="A396" t="inlineStr">
        <is>
          <t>No</t>
        </is>
      </c>
      <c r="B396" t="inlineStr">
        <is>
          <t>BF318 .S93</t>
        </is>
      </c>
      <c r="C396" t="inlineStr">
        <is>
          <t>0                      BF 0318000S  93</t>
        </is>
      </c>
      <c r="D396" t="inlineStr">
        <is>
          <t>Theories of learning : traditional perspectives/contemporary developments / Leland C. Swenson.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Swenson, Leland C.</t>
        </is>
      </c>
      <c r="L396" t="inlineStr">
        <is>
          <t>Belmont, Calif. : Wadsworth Pub. Co., c1980.</t>
        </is>
      </c>
      <c r="M396" t="inlineStr">
        <is>
          <t>1980</t>
        </is>
      </c>
      <c r="O396" t="inlineStr">
        <is>
          <t>eng</t>
        </is>
      </c>
      <c r="P396" t="inlineStr">
        <is>
          <t>cau</t>
        </is>
      </c>
      <c r="R396" t="inlineStr">
        <is>
          <t xml:space="preserve">BF </t>
        </is>
      </c>
      <c r="S396" t="n">
        <v>7</v>
      </c>
      <c r="T396" t="n">
        <v>7</v>
      </c>
      <c r="U396" t="inlineStr">
        <is>
          <t>2004-09-05</t>
        </is>
      </c>
      <c r="V396" t="inlineStr">
        <is>
          <t>2004-09-05</t>
        </is>
      </c>
      <c r="W396" t="inlineStr">
        <is>
          <t>1991-05-02</t>
        </is>
      </c>
      <c r="X396" t="inlineStr">
        <is>
          <t>1991-05-02</t>
        </is>
      </c>
      <c r="Y396" t="n">
        <v>387</v>
      </c>
      <c r="Z396" t="n">
        <v>324</v>
      </c>
      <c r="AA396" t="n">
        <v>330</v>
      </c>
      <c r="AB396" t="n">
        <v>2</v>
      </c>
      <c r="AC396" t="n">
        <v>2</v>
      </c>
      <c r="AD396" t="n">
        <v>13</v>
      </c>
      <c r="AE396" t="n">
        <v>13</v>
      </c>
      <c r="AF396" t="n">
        <v>6</v>
      </c>
      <c r="AG396" t="n">
        <v>6</v>
      </c>
      <c r="AH396" t="n">
        <v>2</v>
      </c>
      <c r="AI396" t="n">
        <v>2</v>
      </c>
      <c r="AJ396" t="n">
        <v>8</v>
      </c>
      <c r="AK396" t="n">
        <v>8</v>
      </c>
      <c r="AL396" t="n">
        <v>1</v>
      </c>
      <c r="AM396" t="n">
        <v>1</v>
      </c>
      <c r="AN396" t="n">
        <v>0</v>
      </c>
      <c r="AO396" t="n">
        <v>0</v>
      </c>
      <c r="AP396" t="inlineStr">
        <is>
          <t>No</t>
        </is>
      </c>
      <c r="AQ396" t="inlineStr">
        <is>
          <t>Yes</t>
        </is>
      </c>
      <c r="AR396">
        <f>HYPERLINK("http://catalog.hathitrust.org/Record/000690187","HathiTrust Record")</f>
        <v/>
      </c>
      <c r="AS396">
        <f>HYPERLINK("https://creighton-primo.hosted.exlibrisgroup.com/primo-explore/search?tab=default_tab&amp;search_scope=EVERYTHING&amp;vid=01CRU&amp;lang=en_US&amp;offset=0&amp;query=any,contains,991004777759702656","Catalog Record")</f>
        <v/>
      </c>
      <c r="AT396">
        <f>HYPERLINK("http://www.worldcat.org/oclc/5101685","WorldCat Record")</f>
        <v/>
      </c>
      <c r="AU396" t="inlineStr">
        <is>
          <t>894520647:eng</t>
        </is>
      </c>
      <c r="AV396" t="inlineStr">
        <is>
          <t>5101685</t>
        </is>
      </c>
      <c r="AW396" t="inlineStr">
        <is>
          <t>991004777759702656</t>
        </is>
      </c>
      <c r="AX396" t="inlineStr">
        <is>
          <t>991004777759702656</t>
        </is>
      </c>
      <c r="AY396" t="inlineStr">
        <is>
          <t>2258985170002656</t>
        </is>
      </c>
      <c r="AZ396" t="inlineStr">
        <is>
          <t>BOOK</t>
        </is>
      </c>
      <c r="BB396" t="inlineStr">
        <is>
          <t>9780534006983</t>
        </is>
      </c>
      <c r="BC396" t="inlineStr">
        <is>
          <t>32285000601095</t>
        </is>
      </c>
      <c r="BD396" t="inlineStr">
        <is>
          <t>893513668</t>
        </is>
      </c>
    </row>
    <row r="397">
      <c r="A397" t="inlineStr">
        <is>
          <t>No</t>
        </is>
      </c>
      <c r="B397" t="inlineStr">
        <is>
          <t>BF318 .T37</t>
        </is>
      </c>
      <c r="C397" t="inlineStr">
        <is>
          <t>0                      BF 0318000T  37</t>
        </is>
      </c>
      <c r="D397" t="inlineStr">
        <is>
          <t>Foundations of learning and memory / Roger M. Tarpy, Richard E. Mayer.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Tarpy, Roger M., 1941-</t>
        </is>
      </c>
      <c r="L397" t="inlineStr">
        <is>
          <t>Glenview, Ill. : Scott, Foresman, c1978.</t>
        </is>
      </c>
      <c r="M397" t="inlineStr">
        <is>
          <t>1978</t>
        </is>
      </c>
      <c r="O397" t="inlineStr">
        <is>
          <t>eng</t>
        </is>
      </c>
      <c r="P397" t="inlineStr">
        <is>
          <t>ilu</t>
        </is>
      </c>
      <c r="R397" t="inlineStr">
        <is>
          <t xml:space="preserve">BF </t>
        </is>
      </c>
      <c r="S397" t="n">
        <v>1</v>
      </c>
      <c r="T397" t="n">
        <v>1</v>
      </c>
      <c r="U397" t="inlineStr">
        <is>
          <t>1995-11-15</t>
        </is>
      </c>
      <c r="V397" t="inlineStr">
        <is>
          <t>1995-11-15</t>
        </is>
      </c>
      <c r="W397" t="inlineStr">
        <is>
          <t>1993-10-18</t>
        </is>
      </c>
      <c r="X397" t="inlineStr">
        <is>
          <t>1993-10-18</t>
        </is>
      </c>
      <c r="Y397" t="n">
        <v>299</v>
      </c>
      <c r="Z397" t="n">
        <v>197</v>
      </c>
      <c r="AA397" t="n">
        <v>199</v>
      </c>
      <c r="AB397" t="n">
        <v>2</v>
      </c>
      <c r="AC397" t="n">
        <v>2</v>
      </c>
      <c r="AD397" t="n">
        <v>14</v>
      </c>
      <c r="AE397" t="n">
        <v>14</v>
      </c>
      <c r="AF397" t="n">
        <v>5</v>
      </c>
      <c r="AG397" t="n">
        <v>5</v>
      </c>
      <c r="AH397" t="n">
        <v>2</v>
      </c>
      <c r="AI397" t="n">
        <v>2</v>
      </c>
      <c r="AJ397" t="n">
        <v>9</v>
      </c>
      <c r="AK397" t="n">
        <v>9</v>
      </c>
      <c r="AL397" t="n">
        <v>1</v>
      </c>
      <c r="AM397" t="n">
        <v>1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HYPERLINK("http://catalog.hathitrust.org/Record/000751318","HathiTrust Record")</f>
        <v/>
      </c>
      <c r="AS397">
        <f>HYPERLINK("https://creighton-primo.hosted.exlibrisgroup.com/primo-explore/search?tab=default_tab&amp;search_scope=EVERYTHING&amp;vid=01CRU&amp;lang=en_US&amp;offset=0&amp;query=any,contains,991004425159702656","Catalog Record")</f>
        <v/>
      </c>
      <c r="AT397">
        <f>HYPERLINK("http://www.worldcat.org/oclc/3397029","WorldCat Record")</f>
        <v/>
      </c>
      <c r="AU397" t="inlineStr">
        <is>
          <t>10282274:eng</t>
        </is>
      </c>
      <c r="AV397" t="inlineStr">
        <is>
          <t>3397029</t>
        </is>
      </c>
      <c r="AW397" t="inlineStr">
        <is>
          <t>991004425159702656</t>
        </is>
      </c>
      <c r="AX397" t="inlineStr">
        <is>
          <t>991004425159702656</t>
        </is>
      </c>
      <c r="AY397" t="inlineStr">
        <is>
          <t>2267172690002656</t>
        </is>
      </c>
      <c r="AZ397" t="inlineStr">
        <is>
          <t>BOOK</t>
        </is>
      </c>
      <c r="BB397" t="inlineStr">
        <is>
          <t>9780673150745</t>
        </is>
      </c>
      <c r="BC397" t="inlineStr">
        <is>
          <t>32285001793826</t>
        </is>
      </c>
      <c r="BD397" t="inlineStr">
        <is>
          <t>893241413</t>
        </is>
      </c>
    </row>
    <row r="398">
      <c r="A398" t="inlineStr">
        <is>
          <t>No</t>
        </is>
      </c>
      <c r="B398" t="inlineStr">
        <is>
          <t>BF318 .T53 1982</t>
        </is>
      </c>
      <c r="C398" t="inlineStr">
        <is>
          <t>0                      BF 0318000T  53          1982</t>
        </is>
      </c>
      <c r="D398" t="inlineStr">
        <is>
          <t>Modern learning theory : foundations and fundamental issues / Thomas J. Tighe.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Tighe, Thomas J.</t>
        </is>
      </c>
      <c r="L398" t="inlineStr">
        <is>
          <t>New York : Oxford University Press, 1982.</t>
        </is>
      </c>
      <c r="M398" t="inlineStr">
        <is>
          <t>1982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BF </t>
        </is>
      </c>
      <c r="S398" t="n">
        <v>3</v>
      </c>
      <c r="T398" t="n">
        <v>3</v>
      </c>
      <c r="U398" t="inlineStr">
        <is>
          <t>1997-09-02</t>
        </is>
      </c>
      <c r="V398" t="inlineStr">
        <is>
          <t>1997-09-02</t>
        </is>
      </c>
      <c r="W398" t="inlineStr">
        <is>
          <t>1991-05-02</t>
        </is>
      </c>
      <c r="X398" t="inlineStr">
        <is>
          <t>1991-05-02</t>
        </is>
      </c>
      <c r="Y398" t="n">
        <v>334</v>
      </c>
      <c r="Z398" t="n">
        <v>229</v>
      </c>
      <c r="AA398" t="n">
        <v>232</v>
      </c>
      <c r="AB398" t="n">
        <v>1</v>
      </c>
      <c r="AC398" t="n">
        <v>1</v>
      </c>
      <c r="AD398" t="n">
        <v>10</v>
      </c>
      <c r="AE398" t="n">
        <v>10</v>
      </c>
      <c r="AF398" t="n">
        <v>4</v>
      </c>
      <c r="AG398" t="n">
        <v>4</v>
      </c>
      <c r="AH398" t="n">
        <v>4</v>
      </c>
      <c r="AI398" t="n">
        <v>4</v>
      </c>
      <c r="AJ398" t="n">
        <v>6</v>
      </c>
      <c r="AK398" t="n">
        <v>6</v>
      </c>
      <c r="AL398" t="n">
        <v>0</v>
      </c>
      <c r="AM398" t="n">
        <v>0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HYPERLINK("http://catalog.hathitrust.org/Record/000187521","HathiTrust Record")</f>
        <v/>
      </c>
      <c r="AS398">
        <f>HYPERLINK("https://creighton-primo.hosted.exlibrisgroup.com/primo-explore/search?tab=default_tab&amp;search_scope=EVERYTHING&amp;vid=01CRU&amp;lang=en_US&amp;offset=0&amp;query=any,contains,991005144369702656","Catalog Record")</f>
        <v/>
      </c>
      <c r="AT398">
        <f>HYPERLINK("http://www.worldcat.org/oclc/7653255","WorldCat Record")</f>
        <v/>
      </c>
      <c r="AU398" t="inlineStr">
        <is>
          <t>197065076:eng</t>
        </is>
      </c>
      <c r="AV398" t="inlineStr">
        <is>
          <t>7653255</t>
        </is>
      </c>
      <c r="AW398" t="inlineStr">
        <is>
          <t>991005144369702656</t>
        </is>
      </c>
      <c r="AX398" t="inlineStr">
        <is>
          <t>991005144369702656</t>
        </is>
      </c>
      <c r="AY398" t="inlineStr">
        <is>
          <t>2258773880002656</t>
        </is>
      </c>
      <c r="AZ398" t="inlineStr">
        <is>
          <t>BOOK</t>
        </is>
      </c>
      <c r="BB398" t="inlineStr">
        <is>
          <t>9780195030273</t>
        </is>
      </c>
      <c r="BC398" t="inlineStr">
        <is>
          <t>32285000601111</t>
        </is>
      </c>
      <c r="BD398" t="inlineStr">
        <is>
          <t>893520504</t>
        </is>
      </c>
    </row>
    <row r="399">
      <c r="A399" t="inlineStr">
        <is>
          <t>No</t>
        </is>
      </c>
      <c r="B399" t="inlineStr">
        <is>
          <t>BF318 .T59 1984</t>
        </is>
      </c>
      <c r="C399" t="inlineStr">
        <is>
          <t>0                      BF 0318000T  59          1984</t>
        </is>
      </c>
      <c r="D399" t="inlineStr">
        <is>
          <t>Young children learning / Barbara Tizard and Martin Hughes.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Tizard, Barbara.</t>
        </is>
      </c>
      <c r="L399" t="inlineStr">
        <is>
          <t>Cambridge, Mass. : Harvard University Press, 1984.</t>
        </is>
      </c>
      <c r="M399" t="inlineStr">
        <is>
          <t>1984</t>
        </is>
      </c>
      <c r="O399" t="inlineStr">
        <is>
          <t>eng</t>
        </is>
      </c>
      <c r="P399" t="inlineStr">
        <is>
          <t>mau</t>
        </is>
      </c>
      <c r="R399" t="inlineStr">
        <is>
          <t xml:space="preserve">BF </t>
        </is>
      </c>
      <c r="S399" t="n">
        <v>3</v>
      </c>
      <c r="T399" t="n">
        <v>3</v>
      </c>
      <c r="U399" t="inlineStr">
        <is>
          <t>1994-10-08</t>
        </is>
      </c>
      <c r="V399" t="inlineStr">
        <is>
          <t>1994-10-08</t>
        </is>
      </c>
      <c r="W399" t="inlineStr">
        <is>
          <t>1990-02-06</t>
        </is>
      </c>
      <c r="X399" t="inlineStr">
        <is>
          <t>1990-02-06</t>
        </is>
      </c>
      <c r="Y399" t="n">
        <v>596</v>
      </c>
      <c r="Z399" t="n">
        <v>526</v>
      </c>
      <c r="AA399" t="n">
        <v>636</v>
      </c>
      <c r="AB399" t="n">
        <v>5</v>
      </c>
      <c r="AC399" t="n">
        <v>5</v>
      </c>
      <c r="AD399" t="n">
        <v>23</v>
      </c>
      <c r="AE399" t="n">
        <v>25</v>
      </c>
      <c r="AF399" t="n">
        <v>9</v>
      </c>
      <c r="AG399" t="n">
        <v>10</v>
      </c>
      <c r="AH399" t="n">
        <v>3</v>
      </c>
      <c r="AI399" t="n">
        <v>3</v>
      </c>
      <c r="AJ399" t="n">
        <v>12</v>
      </c>
      <c r="AK399" t="n">
        <v>13</v>
      </c>
      <c r="AL399" t="n">
        <v>4</v>
      </c>
      <c r="AM399" t="n">
        <v>4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HYPERLINK("http://catalog.hathitrust.org/Record/000564167","HathiTrust Record")</f>
        <v/>
      </c>
      <c r="AS399">
        <f>HYPERLINK("https://creighton-primo.hosted.exlibrisgroup.com/primo-explore/search?tab=default_tab&amp;search_scope=EVERYTHING&amp;vid=01CRU&amp;lang=en_US&amp;offset=0&amp;query=any,contains,991000493079702656","Catalog Record")</f>
        <v/>
      </c>
      <c r="AT399">
        <f>HYPERLINK("http://www.worldcat.org/oclc/11114218","WorldCat Record")</f>
        <v/>
      </c>
      <c r="AU399" t="inlineStr">
        <is>
          <t>2863475477:eng</t>
        </is>
      </c>
      <c r="AV399" t="inlineStr">
        <is>
          <t>11114218</t>
        </is>
      </c>
      <c r="AW399" t="inlineStr">
        <is>
          <t>991000493079702656</t>
        </is>
      </c>
      <c r="AX399" t="inlineStr">
        <is>
          <t>991000493079702656</t>
        </is>
      </c>
      <c r="AY399" t="inlineStr">
        <is>
          <t>2258863310002656</t>
        </is>
      </c>
      <c r="AZ399" t="inlineStr">
        <is>
          <t>BOOK</t>
        </is>
      </c>
      <c r="BB399" t="inlineStr">
        <is>
          <t>9780674965959</t>
        </is>
      </c>
      <c r="BC399" t="inlineStr">
        <is>
          <t>32285000032937</t>
        </is>
      </c>
      <c r="BD399" t="inlineStr">
        <is>
          <t>893438298</t>
        </is>
      </c>
    </row>
    <row r="400">
      <c r="A400" t="inlineStr">
        <is>
          <t>No</t>
        </is>
      </c>
      <c r="B400" t="inlineStr">
        <is>
          <t>BF319 .B32</t>
        </is>
      </c>
      <c r="C400" t="inlineStr">
        <is>
          <t>0                      BF 0319000B  32</t>
        </is>
      </c>
      <c r="D400" t="inlineStr">
        <is>
          <t>Stimulus and response [by] John A. Barlow.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Barlow, John A.</t>
        </is>
      </c>
      <c r="L400" t="inlineStr">
        <is>
          <t>New York, Harper &amp; Row [1967, c1968]</t>
        </is>
      </c>
      <c r="M400" t="inlineStr">
        <is>
          <t>1967</t>
        </is>
      </c>
      <c r="O400" t="inlineStr">
        <is>
          <t>eng</t>
        </is>
      </c>
      <c r="P400" t="inlineStr">
        <is>
          <t>nyu</t>
        </is>
      </c>
      <c r="R400" t="inlineStr">
        <is>
          <t xml:space="preserve">BF </t>
        </is>
      </c>
      <c r="S400" t="n">
        <v>1</v>
      </c>
      <c r="T400" t="n">
        <v>1</v>
      </c>
      <c r="U400" t="inlineStr">
        <is>
          <t>2001-02-19</t>
        </is>
      </c>
      <c r="V400" t="inlineStr">
        <is>
          <t>2001-02-19</t>
        </is>
      </c>
      <c r="W400" t="inlineStr">
        <is>
          <t>1992-06-11</t>
        </is>
      </c>
      <c r="X400" t="inlineStr">
        <is>
          <t>1992-06-11</t>
        </is>
      </c>
      <c r="Y400" t="n">
        <v>416</v>
      </c>
      <c r="Z400" t="n">
        <v>367</v>
      </c>
      <c r="AA400" t="n">
        <v>373</v>
      </c>
      <c r="AB400" t="n">
        <v>4</v>
      </c>
      <c r="AC400" t="n">
        <v>4</v>
      </c>
      <c r="AD400" t="n">
        <v>20</v>
      </c>
      <c r="AE400" t="n">
        <v>20</v>
      </c>
      <c r="AF400" t="n">
        <v>6</v>
      </c>
      <c r="AG400" t="n">
        <v>6</v>
      </c>
      <c r="AH400" t="n">
        <v>6</v>
      </c>
      <c r="AI400" t="n">
        <v>6</v>
      </c>
      <c r="AJ400" t="n">
        <v>8</v>
      </c>
      <c r="AK400" t="n">
        <v>8</v>
      </c>
      <c r="AL400" t="n">
        <v>3</v>
      </c>
      <c r="AM400" t="n">
        <v>3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HYPERLINK("http://catalog.hathitrust.org/Record/000356528","HathiTrust Record")</f>
        <v/>
      </c>
      <c r="AS400">
        <f>HYPERLINK("https://creighton-primo.hosted.exlibrisgroup.com/primo-explore/search?tab=default_tab&amp;search_scope=EVERYTHING&amp;vid=01CRU&amp;lang=en_US&amp;offset=0&amp;query=any,contains,991001374489702656","Catalog Record")</f>
        <v/>
      </c>
      <c r="AT400">
        <f>HYPERLINK("http://www.worldcat.org/oclc/224516","WorldCat Record")</f>
        <v/>
      </c>
      <c r="AU400" t="inlineStr">
        <is>
          <t>1334113:eng</t>
        </is>
      </c>
      <c r="AV400" t="inlineStr">
        <is>
          <t>224516</t>
        </is>
      </c>
      <c r="AW400" t="inlineStr">
        <is>
          <t>991001374489702656</t>
        </is>
      </c>
      <c r="AX400" t="inlineStr">
        <is>
          <t>991001374489702656</t>
        </is>
      </c>
      <c r="AY400" t="inlineStr">
        <is>
          <t>2264271710002656</t>
        </is>
      </c>
      <c r="AZ400" t="inlineStr">
        <is>
          <t>BOOK</t>
        </is>
      </c>
      <c r="BC400" t="inlineStr">
        <is>
          <t>32285001099265</t>
        </is>
      </c>
      <c r="BD400" t="inlineStr">
        <is>
          <t>893621290</t>
        </is>
      </c>
    </row>
    <row r="401">
      <c r="A401" t="inlineStr">
        <is>
          <t>No</t>
        </is>
      </c>
      <c r="B401" t="inlineStr">
        <is>
          <t>BF319 .F38</t>
        </is>
      </c>
      <c r="C401" t="inlineStr">
        <is>
          <t>0                      BF 0319000F  38</t>
        </is>
      </c>
      <c r="D401" t="inlineStr">
        <is>
          <t>Behavior principles / [by] C. B. Ferster [and] Mary Carol Perrott.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Ferster, Charles B., 1922-</t>
        </is>
      </c>
      <c r="L401" t="inlineStr">
        <is>
          <t>New York : Appleton-Century-Crofts, [1968]</t>
        </is>
      </c>
      <c r="M401" t="inlineStr">
        <is>
          <t>1968</t>
        </is>
      </c>
      <c r="O401" t="inlineStr">
        <is>
          <t>eng</t>
        </is>
      </c>
      <c r="P401" t="inlineStr">
        <is>
          <t>nyu</t>
        </is>
      </c>
      <c r="R401" t="inlineStr">
        <is>
          <t xml:space="preserve">BF </t>
        </is>
      </c>
      <c r="S401" t="n">
        <v>3</v>
      </c>
      <c r="T401" t="n">
        <v>3</v>
      </c>
      <c r="U401" t="inlineStr">
        <is>
          <t>1994-09-29</t>
        </is>
      </c>
      <c r="V401" t="inlineStr">
        <is>
          <t>1994-09-29</t>
        </is>
      </c>
      <c r="W401" t="inlineStr">
        <is>
          <t>1992-02-19</t>
        </is>
      </c>
      <c r="X401" t="inlineStr">
        <is>
          <t>1992-02-19</t>
        </is>
      </c>
      <c r="Y401" t="n">
        <v>422</v>
      </c>
      <c r="Z401" t="n">
        <v>349</v>
      </c>
      <c r="AA401" t="n">
        <v>631</v>
      </c>
      <c r="AB401" t="n">
        <v>6</v>
      </c>
      <c r="AC401" t="n">
        <v>8</v>
      </c>
      <c r="AD401" t="n">
        <v>19</v>
      </c>
      <c r="AE401" t="n">
        <v>35</v>
      </c>
      <c r="AF401" t="n">
        <v>10</v>
      </c>
      <c r="AG401" t="n">
        <v>17</v>
      </c>
      <c r="AH401" t="n">
        <v>4</v>
      </c>
      <c r="AI401" t="n">
        <v>7</v>
      </c>
      <c r="AJ401" t="n">
        <v>5</v>
      </c>
      <c r="AK401" t="n">
        <v>13</v>
      </c>
      <c r="AL401" t="n">
        <v>5</v>
      </c>
      <c r="AM401" t="n">
        <v>7</v>
      </c>
      <c r="AN401" t="n">
        <v>0</v>
      </c>
      <c r="AO401" t="n">
        <v>0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HYPERLINK("http://catalog.hathitrust.org/Record/000354195","HathiTrust Record")</f>
        <v/>
      </c>
      <c r="AS401">
        <f>HYPERLINK("https://creighton-primo.hosted.exlibrisgroup.com/primo-explore/search?tab=default_tab&amp;search_scope=EVERYTHING&amp;vid=01CRU&amp;lang=en_US&amp;offset=0&amp;query=any,contains,991001374389702656","Catalog Record")</f>
        <v/>
      </c>
      <c r="AT401">
        <f>HYPERLINK("http://www.worldcat.org/oclc/224498","WorldCat Record")</f>
        <v/>
      </c>
      <c r="AU401" t="inlineStr">
        <is>
          <t>410245:eng</t>
        </is>
      </c>
      <c r="AV401" t="inlineStr">
        <is>
          <t>224498</t>
        </is>
      </c>
      <c r="AW401" t="inlineStr">
        <is>
          <t>991001374389702656</t>
        </is>
      </c>
      <c r="AX401" t="inlineStr">
        <is>
          <t>991001374389702656</t>
        </is>
      </c>
      <c r="AY401" t="inlineStr">
        <is>
          <t>2264198250002656</t>
        </is>
      </c>
      <c r="AZ401" t="inlineStr">
        <is>
          <t>BOOK</t>
        </is>
      </c>
      <c r="BC401" t="inlineStr">
        <is>
          <t>32285000971332</t>
        </is>
      </c>
      <c r="BD401" t="inlineStr">
        <is>
          <t>893785065</t>
        </is>
      </c>
    </row>
    <row r="402">
      <c r="A402" t="inlineStr">
        <is>
          <t>No</t>
        </is>
      </c>
      <c r="B402" t="inlineStr">
        <is>
          <t>BF319 .F68</t>
        </is>
      </c>
      <c r="C402" t="inlineStr">
        <is>
          <t>0                      BF 0319000F  68</t>
        </is>
      </c>
      <c r="D402" t="inlineStr">
        <is>
          <t>Conditioning techniques in clinical practice and research / introduced and edited by Cyril M. Franks.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Franks, Cyril M. editor.</t>
        </is>
      </c>
      <c r="L402" t="inlineStr">
        <is>
          <t>New York : Springer Pub. Co., [1964]</t>
        </is>
      </c>
      <c r="M402" t="inlineStr">
        <is>
          <t>1964</t>
        </is>
      </c>
      <c r="O402" t="inlineStr">
        <is>
          <t>eng</t>
        </is>
      </c>
      <c r="P402" t="inlineStr">
        <is>
          <t>nyu</t>
        </is>
      </c>
      <c r="R402" t="inlineStr">
        <is>
          <t xml:space="preserve">BF </t>
        </is>
      </c>
      <c r="S402" t="n">
        <v>3</v>
      </c>
      <c r="T402" t="n">
        <v>3</v>
      </c>
      <c r="U402" t="inlineStr">
        <is>
          <t>2007-04-15</t>
        </is>
      </c>
      <c r="V402" t="inlineStr">
        <is>
          <t>2007-04-15</t>
        </is>
      </c>
      <c r="W402" t="inlineStr">
        <is>
          <t>1994-02-23</t>
        </is>
      </c>
      <c r="X402" t="inlineStr">
        <is>
          <t>1994-02-23</t>
        </is>
      </c>
      <c r="Y402" t="n">
        <v>411</v>
      </c>
      <c r="Z402" t="n">
        <v>359</v>
      </c>
      <c r="AA402" t="n">
        <v>382</v>
      </c>
      <c r="AB402" t="n">
        <v>3</v>
      </c>
      <c r="AC402" t="n">
        <v>3</v>
      </c>
      <c r="AD402" t="n">
        <v>21</v>
      </c>
      <c r="AE402" t="n">
        <v>23</v>
      </c>
      <c r="AF402" t="n">
        <v>7</v>
      </c>
      <c r="AG402" t="n">
        <v>9</v>
      </c>
      <c r="AH402" t="n">
        <v>5</v>
      </c>
      <c r="AI402" t="n">
        <v>5</v>
      </c>
      <c r="AJ402" t="n">
        <v>11</v>
      </c>
      <c r="AK402" t="n">
        <v>12</v>
      </c>
      <c r="AL402" t="n">
        <v>2</v>
      </c>
      <c r="AM402" t="n">
        <v>2</v>
      </c>
      <c r="AN402" t="n">
        <v>0</v>
      </c>
      <c r="AO402" t="n">
        <v>0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HYPERLINK("http://catalog.hathitrust.org/Record/000356537","HathiTrust Record")</f>
        <v/>
      </c>
      <c r="AS402">
        <f>HYPERLINK("https://creighton-primo.hosted.exlibrisgroup.com/primo-explore/search?tab=default_tab&amp;search_scope=EVERYTHING&amp;vid=01CRU&amp;lang=en_US&amp;offset=0&amp;query=any,contains,991002022869702656","Catalog Record")</f>
        <v/>
      </c>
      <c r="AT402">
        <f>HYPERLINK("http://www.worldcat.org/oclc/259473","WorldCat Record")</f>
        <v/>
      </c>
      <c r="AU402" t="inlineStr">
        <is>
          <t>5578315518:eng</t>
        </is>
      </c>
      <c r="AV402" t="inlineStr">
        <is>
          <t>259473</t>
        </is>
      </c>
      <c r="AW402" t="inlineStr">
        <is>
          <t>991002022869702656</t>
        </is>
      </c>
      <c r="AX402" t="inlineStr">
        <is>
          <t>991002022869702656</t>
        </is>
      </c>
      <c r="AY402" t="inlineStr">
        <is>
          <t>2272735970002656</t>
        </is>
      </c>
      <c r="AZ402" t="inlineStr">
        <is>
          <t>BOOK</t>
        </is>
      </c>
      <c r="BC402" t="inlineStr">
        <is>
          <t>32285001839959</t>
        </is>
      </c>
      <c r="BD402" t="inlineStr">
        <is>
          <t>893433401</t>
        </is>
      </c>
    </row>
    <row r="403">
      <c r="A403" t="inlineStr">
        <is>
          <t>No</t>
        </is>
      </c>
      <c r="B403" t="inlineStr">
        <is>
          <t>BF319 .I53 1981</t>
        </is>
      </c>
      <c r="C403" t="inlineStr">
        <is>
          <t>0                      BF 0319000I  53          1981</t>
        </is>
      </c>
      <c r="D403" t="inlineStr">
        <is>
          <t>Information processing in animals, memory mechanisms / edited by Norman E. Spear, Ralph R. Miller.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L403" t="inlineStr">
        <is>
          <t>Hillsdale, N.J. : L. Erlbaum Associates, 1981.</t>
        </is>
      </c>
      <c r="M403" t="inlineStr">
        <is>
          <t>1981</t>
        </is>
      </c>
      <c r="O403" t="inlineStr">
        <is>
          <t>eng</t>
        </is>
      </c>
      <c r="P403" t="inlineStr">
        <is>
          <t>nju</t>
        </is>
      </c>
      <c r="R403" t="inlineStr">
        <is>
          <t xml:space="preserve">BF </t>
        </is>
      </c>
      <c r="S403" t="n">
        <v>2</v>
      </c>
      <c r="T403" t="n">
        <v>2</v>
      </c>
      <c r="U403" t="inlineStr">
        <is>
          <t>1995-04-13</t>
        </is>
      </c>
      <c r="V403" t="inlineStr">
        <is>
          <t>1995-04-13</t>
        </is>
      </c>
      <c r="W403" t="inlineStr">
        <is>
          <t>1991-05-06</t>
        </is>
      </c>
      <c r="X403" t="inlineStr">
        <is>
          <t>1991-05-06</t>
        </is>
      </c>
      <c r="Y403" t="n">
        <v>386</v>
      </c>
      <c r="Z403" t="n">
        <v>306</v>
      </c>
      <c r="AA403" t="n">
        <v>334</v>
      </c>
      <c r="AB403" t="n">
        <v>3</v>
      </c>
      <c r="AC403" t="n">
        <v>3</v>
      </c>
      <c r="AD403" t="n">
        <v>14</v>
      </c>
      <c r="AE403" t="n">
        <v>14</v>
      </c>
      <c r="AF403" t="n">
        <v>4</v>
      </c>
      <c r="AG403" t="n">
        <v>4</v>
      </c>
      <c r="AH403" t="n">
        <v>4</v>
      </c>
      <c r="AI403" t="n">
        <v>4</v>
      </c>
      <c r="AJ403" t="n">
        <v>9</v>
      </c>
      <c r="AK403" t="n">
        <v>9</v>
      </c>
      <c r="AL403" t="n">
        <v>2</v>
      </c>
      <c r="AM403" t="n">
        <v>2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HYPERLINK("https://creighton-primo.hosted.exlibrisgroup.com/primo-explore/search?tab=default_tab&amp;search_scope=EVERYTHING&amp;vid=01CRU&amp;lang=en_US&amp;offset=0&amp;query=any,contains,991005168709702656","Catalog Record")</f>
        <v/>
      </c>
      <c r="AT403">
        <f>HYPERLINK("http://www.worldcat.org/oclc/7837609","WorldCat Record")</f>
        <v/>
      </c>
      <c r="AU403" t="inlineStr">
        <is>
          <t>365911617:eng</t>
        </is>
      </c>
      <c r="AV403" t="inlineStr">
        <is>
          <t>7837609</t>
        </is>
      </c>
      <c r="AW403" t="inlineStr">
        <is>
          <t>991005168709702656</t>
        </is>
      </c>
      <c r="AX403" t="inlineStr">
        <is>
          <t>991005168709702656</t>
        </is>
      </c>
      <c r="AY403" t="inlineStr">
        <is>
          <t>2256964230002656</t>
        </is>
      </c>
      <c r="AZ403" t="inlineStr">
        <is>
          <t>BOOK</t>
        </is>
      </c>
      <c r="BB403" t="inlineStr">
        <is>
          <t>9780898591576</t>
        </is>
      </c>
      <c r="BC403" t="inlineStr">
        <is>
          <t>32285000601137</t>
        </is>
      </c>
      <c r="BD403" t="inlineStr">
        <is>
          <t>893536429</t>
        </is>
      </c>
    </row>
    <row r="404">
      <c r="A404" t="inlineStr">
        <is>
          <t>No</t>
        </is>
      </c>
      <c r="B404" t="inlineStr">
        <is>
          <t>BF319 .R327</t>
        </is>
      </c>
      <c r="C404" t="inlineStr">
        <is>
          <t>0                      BF 0319000R  327</t>
        </is>
      </c>
      <c r="D404" t="inlineStr">
        <is>
          <t>Behavior and learning / Howard Rachlin.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Rachlin, Howard, 1935-</t>
        </is>
      </c>
      <c r="L404" t="inlineStr">
        <is>
          <t>San Francisco : W. H. Freeman, c1976.</t>
        </is>
      </c>
      <c r="M404" t="inlineStr">
        <is>
          <t>1976</t>
        </is>
      </c>
      <c r="O404" t="inlineStr">
        <is>
          <t>eng</t>
        </is>
      </c>
      <c r="P404" t="inlineStr">
        <is>
          <t>cau</t>
        </is>
      </c>
      <c r="R404" t="inlineStr">
        <is>
          <t xml:space="preserve">BF </t>
        </is>
      </c>
      <c r="S404" t="n">
        <v>7</v>
      </c>
      <c r="T404" t="n">
        <v>7</v>
      </c>
      <c r="U404" t="inlineStr">
        <is>
          <t>1994-11-22</t>
        </is>
      </c>
      <c r="V404" t="inlineStr">
        <is>
          <t>1994-11-22</t>
        </is>
      </c>
      <c r="W404" t="inlineStr">
        <is>
          <t>1991-05-06</t>
        </is>
      </c>
      <c r="X404" t="inlineStr">
        <is>
          <t>1991-05-06</t>
        </is>
      </c>
      <c r="Y404" t="n">
        <v>513</v>
      </c>
      <c r="Z404" t="n">
        <v>391</v>
      </c>
      <c r="AA404" t="n">
        <v>391</v>
      </c>
      <c r="AB404" t="n">
        <v>3</v>
      </c>
      <c r="AC404" t="n">
        <v>3</v>
      </c>
      <c r="AD404" t="n">
        <v>15</v>
      </c>
      <c r="AE404" t="n">
        <v>15</v>
      </c>
      <c r="AF404" t="n">
        <v>6</v>
      </c>
      <c r="AG404" t="n">
        <v>6</v>
      </c>
      <c r="AH404" t="n">
        <v>2</v>
      </c>
      <c r="AI404" t="n">
        <v>2</v>
      </c>
      <c r="AJ404" t="n">
        <v>10</v>
      </c>
      <c r="AK404" t="n">
        <v>10</v>
      </c>
      <c r="AL404" t="n">
        <v>2</v>
      </c>
      <c r="AM404" t="n">
        <v>2</v>
      </c>
      <c r="AN404" t="n">
        <v>0</v>
      </c>
      <c r="AO404" t="n">
        <v>0</v>
      </c>
      <c r="AP404" t="inlineStr">
        <is>
          <t>No</t>
        </is>
      </c>
      <c r="AQ404" t="inlineStr">
        <is>
          <t>No</t>
        </is>
      </c>
      <c r="AS404">
        <f>HYPERLINK("https://creighton-primo.hosted.exlibrisgroup.com/primo-explore/search?tab=default_tab&amp;search_scope=EVERYTHING&amp;vid=01CRU&amp;lang=en_US&amp;offset=0&amp;query=any,contains,991003982069702656","Catalog Record")</f>
        <v/>
      </c>
      <c r="AT404">
        <f>HYPERLINK("http://www.worldcat.org/oclc/2020606","WorldCat Record")</f>
        <v/>
      </c>
      <c r="AU404" t="inlineStr">
        <is>
          <t>2704484:eng</t>
        </is>
      </c>
      <c r="AV404" t="inlineStr">
        <is>
          <t>2020606</t>
        </is>
      </c>
      <c r="AW404" t="inlineStr">
        <is>
          <t>991003982069702656</t>
        </is>
      </c>
      <c r="AX404" t="inlineStr">
        <is>
          <t>991003982069702656</t>
        </is>
      </c>
      <c r="AY404" t="inlineStr">
        <is>
          <t>2271377660002656</t>
        </is>
      </c>
      <c r="AZ404" t="inlineStr">
        <is>
          <t>BOOK</t>
        </is>
      </c>
      <c r="BB404" t="inlineStr">
        <is>
          <t>9780716705680</t>
        </is>
      </c>
      <c r="BC404" t="inlineStr">
        <is>
          <t>32285000601145</t>
        </is>
      </c>
      <c r="BD404" t="inlineStr">
        <is>
          <t>893705859</t>
        </is>
      </c>
    </row>
    <row r="405">
      <c r="A405" t="inlineStr">
        <is>
          <t>No</t>
        </is>
      </c>
      <c r="B405" t="inlineStr">
        <is>
          <t>BF319 .R33 1976</t>
        </is>
      </c>
      <c r="C405" t="inlineStr">
        <is>
          <t>0                      BF 0319000R  33          1976</t>
        </is>
      </c>
      <c r="D405" t="inlineStr">
        <is>
          <t>Introduction to modern behaviorism / Howard Rachlin.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Rachlin, Howard, 1935-</t>
        </is>
      </c>
      <c r="L405" t="inlineStr">
        <is>
          <t>San Francisco : W. H. Freeman, c1976.</t>
        </is>
      </c>
      <c r="M405" t="inlineStr">
        <is>
          <t>1976</t>
        </is>
      </c>
      <c r="N405" t="inlineStr">
        <is>
          <t>2d ed.</t>
        </is>
      </c>
      <c r="O405" t="inlineStr">
        <is>
          <t>eng</t>
        </is>
      </c>
      <c r="P405" t="inlineStr">
        <is>
          <t>cau</t>
        </is>
      </c>
      <c r="R405" t="inlineStr">
        <is>
          <t xml:space="preserve">BF </t>
        </is>
      </c>
      <c r="S405" t="n">
        <v>7</v>
      </c>
      <c r="T405" t="n">
        <v>7</v>
      </c>
      <c r="U405" t="inlineStr">
        <is>
          <t>1998-09-29</t>
        </is>
      </c>
      <c r="V405" t="inlineStr">
        <is>
          <t>1998-09-29</t>
        </is>
      </c>
      <c r="W405" t="inlineStr">
        <is>
          <t>1992-06-11</t>
        </is>
      </c>
      <c r="X405" t="inlineStr">
        <is>
          <t>1992-06-11</t>
        </is>
      </c>
      <c r="Y405" t="n">
        <v>440</v>
      </c>
      <c r="Z405" t="n">
        <v>314</v>
      </c>
      <c r="AA405" t="n">
        <v>788</v>
      </c>
      <c r="AB405" t="n">
        <v>5</v>
      </c>
      <c r="AC405" t="n">
        <v>7</v>
      </c>
      <c r="AD405" t="n">
        <v>14</v>
      </c>
      <c r="AE405" t="n">
        <v>38</v>
      </c>
      <c r="AF405" t="n">
        <v>6</v>
      </c>
      <c r="AG405" t="n">
        <v>18</v>
      </c>
      <c r="AH405" t="n">
        <v>2</v>
      </c>
      <c r="AI405" t="n">
        <v>6</v>
      </c>
      <c r="AJ405" t="n">
        <v>7</v>
      </c>
      <c r="AK405" t="n">
        <v>18</v>
      </c>
      <c r="AL405" t="n">
        <v>4</v>
      </c>
      <c r="AM405" t="n">
        <v>6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HYPERLINK("https://creighton-primo.hosted.exlibrisgroup.com/primo-explore/search?tab=default_tab&amp;search_scope=EVERYTHING&amp;vid=01CRU&amp;lang=en_US&amp;offset=0&amp;query=any,contains,991003981649702656","Catalog Record")</f>
        <v/>
      </c>
      <c r="AT405">
        <f>HYPERLINK("http://www.worldcat.org/oclc/2020488","WorldCat Record")</f>
        <v/>
      </c>
      <c r="AU405" t="inlineStr">
        <is>
          <t>1237256:eng</t>
        </is>
      </c>
      <c r="AV405" t="inlineStr">
        <is>
          <t>2020488</t>
        </is>
      </c>
      <c r="AW405" t="inlineStr">
        <is>
          <t>991003981649702656</t>
        </is>
      </c>
      <c r="AX405" t="inlineStr">
        <is>
          <t>991003981649702656</t>
        </is>
      </c>
      <c r="AY405" t="inlineStr">
        <is>
          <t>2271530800002656</t>
        </is>
      </c>
      <c r="AZ405" t="inlineStr">
        <is>
          <t>BOOK</t>
        </is>
      </c>
      <c r="BB405" t="inlineStr">
        <is>
          <t>9780716704935</t>
        </is>
      </c>
      <c r="BC405" t="inlineStr">
        <is>
          <t>32285001098952</t>
        </is>
      </c>
      <c r="BD405" t="inlineStr">
        <is>
          <t>893506233</t>
        </is>
      </c>
    </row>
    <row r="406">
      <c r="A406" t="inlineStr">
        <is>
          <t>No</t>
        </is>
      </c>
      <c r="B406" t="inlineStr">
        <is>
          <t>BF319 .S66</t>
        </is>
      </c>
      <c r="C406" t="inlineStr">
        <is>
          <t>0                      BF 0319000S  66</t>
        </is>
      </c>
      <c r="D406" t="inlineStr">
        <is>
          <t>Behavior theory and conditioning.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Spence, Kenneth W. (Kenneth Wartenbee), 1907-1967.</t>
        </is>
      </c>
      <c r="L406" t="inlineStr">
        <is>
          <t>New Haven : Yale University Press, 1956.</t>
        </is>
      </c>
      <c r="M406" t="inlineStr">
        <is>
          <t>1956</t>
        </is>
      </c>
      <c r="O406" t="inlineStr">
        <is>
          <t>eng</t>
        </is>
      </c>
      <c r="P406" t="inlineStr">
        <is>
          <t>ctu</t>
        </is>
      </c>
      <c r="Q406" t="inlineStr">
        <is>
          <t>Yale University. Mrs. Hepsa Ely Silliman memorial lectures</t>
        </is>
      </c>
      <c r="R406" t="inlineStr">
        <is>
          <t xml:space="preserve">BF </t>
        </is>
      </c>
      <c r="S406" t="n">
        <v>5</v>
      </c>
      <c r="T406" t="n">
        <v>5</v>
      </c>
      <c r="U406" t="inlineStr">
        <is>
          <t>2007-04-15</t>
        </is>
      </c>
      <c r="V406" t="inlineStr">
        <is>
          <t>2007-04-15</t>
        </is>
      </c>
      <c r="W406" t="inlineStr">
        <is>
          <t>1993-03-25</t>
        </is>
      </c>
      <c r="X406" t="inlineStr">
        <is>
          <t>1993-03-25</t>
        </is>
      </c>
      <c r="Y406" t="n">
        <v>764</v>
      </c>
      <c r="Z406" t="n">
        <v>631</v>
      </c>
      <c r="AA406" t="n">
        <v>742</v>
      </c>
      <c r="AB406" t="n">
        <v>4</v>
      </c>
      <c r="AC406" t="n">
        <v>5</v>
      </c>
      <c r="AD406" t="n">
        <v>27</v>
      </c>
      <c r="AE406" t="n">
        <v>35</v>
      </c>
      <c r="AF406" t="n">
        <v>13</v>
      </c>
      <c r="AG406" t="n">
        <v>17</v>
      </c>
      <c r="AH406" t="n">
        <v>6</v>
      </c>
      <c r="AI406" t="n">
        <v>6</v>
      </c>
      <c r="AJ406" t="n">
        <v>11</v>
      </c>
      <c r="AK406" t="n">
        <v>15</v>
      </c>
      <c r="AL406" t="n">
        <v>3</v>
      </c>
      <c r="AM406" t="n">
        <v>4</v>
      </c>
      <c r="AN406" t="n">
        <v>0</v>
      </c>
      <c r="AO406" t="n">
        <v>0</v>
      </c>
      <c r="AP406" t="inlineStr">
        <is>
          <t>No</t>
        </is>
      </c>
      <c r="AQ406" t="inlineStr">
        <is>
          <t>No</t>
        </is>
      </c>
      <c r="AR406">
        <f>HYPERLINK("http://catalog.hathitrust.org/Record/000355368","HathiTrust Record")</f>
        <v/>
      </c>
      <c r="AS406">
        <f>HYPERLINK("https://creighton-primo.hosted.exlibrisgroup.com/primo-explore/search?tab=default_tab&amp;search_scope=EVERYTHING&amp;vid=01CRU&amp;lang=en_US&amp;offset=0&amp;query=any,contains,991002159699702656","Catalog Record")</f>
        <v/>
      </c>
      <c r="AT406">
        <f>HYPERLINK("http://www.worldcat.org/oclc/273629","WorldCat Record")</f>
        <v/>
      </c>
      <c r="AU406" t="inlineStr">
        <is>
          <t>197232097:eng</t>
        </is>
      </c>
      <c r="AV406" t="inlineStr">
        <is>
          <t>273629</t>
        </is>
      </c>
      <c r="AW406" t="inlineStr">
        <is>
          <t>991002159699702656</t>
        </is>
      </c>
      <c r="AX406" t="inlineStr">
        <is>
          <t>991002159699702656</t>
        </is>
      </c>
      <c r="AY406" t="inlineStr">
        <is>
          <t>2263243810002656</t>
        </is>
      </c>
      <c r="AZ406" t="inlineStr">
        <is>
          <t>BOOK</t>
        </is>
      </c>
      <c r="BC406" t="inlineStr">
        <is>
          <t>32285001591527</t>
        </is>
      </c>
      <c r="BD406" t="inlineStr">
        <is>
          <t>893433555</t>
        </is>
      </c>
    </row>
    <row r="407">
      <c r="A407" t="inlineStr">
        <is>
          <t>No</t>
        </is>
      </c>
      <c r="B407" t="inlineStr">
        <is>
          <t>BF319.5.A8 A9 1971</t>
        </is>
      </c>
      <c r="C407" t="inlineStr">
        <is>
          <t>0                      BF 0319500A  8                  A  9           1971</t>
        </is>
      </c>
      <c r="D407" t="inlineStr">
        <is>
          <t>Aversive conditioning and learning, edited by F. Robert Brush. Contributors: A. H. Black [and others]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New York, Academic Press, 1971.</t>
        </is>
      </c>
      <c r="M407" t="inlineStr">
        <is>
          <t>1971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BF </t>
        </is>
      </c>
      <c r="S407" t="n">
        <v>2</v>
      </c>
      <c r="T407" t="n">
        <v>2</v>
      </c>
      <c r="U407" t="inlineStr">
        <is>
          <t>1999-02-14</t>
        </is>
      </c>
      <c r="V407" t="inlineStr">
        <is>
          <t>1999-02-14</t>
        </is>
      </c>
      <c r="W407" t="inlineStr">
        <is>
          <t>1996-07-26</t>
        </is>
      </c>
      <c r="X407" t="inlineStr">
        <is>
          <t>1996-07-26</t>
        </is>
      </c>
      <c r="Y407" t="n">
        <v>541</v>
      </c>
      <c r="Z407" t="n">
        <v>416</v>
      </c>
      <c r="AA407" t="n">
        <v>451</v>
      </c>
      <c r="AB407" t="n">
        <v>3</v>
      </c>
      <c r="AC407" t="n">
        <v>3</v>
      </c>
      <c r="AD407" t="n">
        <v>21</v>
      </c>
      <c r="AE407" t="n">
        <v>23</v>
      </c>
      <c r="AF407" t="n">
        <v>6</v>
      </c>
      <c r="AG407" t="n">
        <v>7</v>
      </c>
      <c r="AH407" t="n">
        <v>7</v>
      </c>
      <c r="AI407" t="n">
        <v>8</v>
      </c>
      <c r="AJ407" t="n">
        <v>12</v>
      </c>
      <c r="AK407" t="n">
        <v>12</v>
      </c>
      <c r="AL407" t="n">
        <v>2</v>
      </c>
      <c r="AM407" t="n">
        <v>2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HYPERLINK("http://catalog.hathitrust.org/Record/000356690","HathiTrust Record")</f>
        <v/>
      </c>
      <c r="AS407">
        <f>HYPERLINK("https://creighton-primo.hosted.exlibrisgroup.com/primo-explore/search?tab=default_tab&amp;search_scope=EVERYTHING&amp;vid=01CRU&amp;lang=en_US&amp;offset=0&amp;query=any,contains,991000881009702656","Catalog Record")</f>
        <v/>
      </c>
      <c r="AT407">
        <f>HYPERLINK("http://www.worldcat.org/oclc/152315","WorldCat Record")</f>
        <v/>
      </c>
      <c r="AU407" t="inlineStr">
        <is>
          <t>365345226:eng</t>
        </is>
      </c>
      <c r="AV407" t="inlineStr">
        <is>
          <t>152315</t>
        </is>
      </c>
      <c r="AW407" t="inlineStr">
        <is>
          <t>991000881009702656</t>
        </is>
      </c>
      <c r="AX407" t="inlineStr">
        <is>
          <t>991000881009702656</t>
        </is>
      </c>
      <c r="AY407" t="inlineStr">
        <is>
          <t>2271901070002656</t>
        </is>
      </c>
      <c r="AZ407" t="inlineStr">
        <is>
          <t>BOOK</t>
        </is>
      </c>
      <c r="BB407" t="inlineStr">
        <is>
          <t>9780121379506</t>
        </is>
      </c>
      <c r="BC407" t="inlineStr">
        <is>
          <t>32285002246758</t>
        </is>
      </c>
      <c r="BD407" t="inlineStr">
        <is>
          <t>893595984</t>
        </is>
      </c>
    </row>
    <row r="408">
      <c r="A408" t="inlineStr">
        <is>
          <t>No</t>
        </is>
      </c>
      <c r="B408" t="inlineStr">
        <is>
          <t>BF319.5.B5 B58</t>
        </is>
      </c>
      <c r="C408" t="inlineStr">
        <is>
          <t>0                      BF 0319500B  5                  B  58</t>
        </is>
      </c>
      <c r="D408" t="inlineStr">
        <is>
          <t>A biofeedback primer / Edward B. Blanchard, Leonard H. Epstein.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Blanchard, Edward B.</t>
        </is>
      </c>
      <c r="L408" t="inlineStr">
        <is>
          <t>Reading, Mass. : Addison-Wesley Pub. Co., c1978.</t>
        </is>
      </c>
      <c r="M408" t="inlineStr">
        <is>
          <t>1978</t>
        </is>
      </c>
      <c r="O408" t="inlineStr">
        <is>
          <t>eng</t>
        </is>
      </c>
      <c r="P408" t="inlineStr">
        <is>
          <t>mau</t>
        </is>
      </c>
      <c r="Q408" t="inlineStr">
        <is>
          <t>Addison-Wesley series in clinical and professional psychology</t>
        </is>
      </c>
      <c r="R408" t="inlineStr">
        <is>
          <t xml:space="preserve">BF </t>
        </is>
      </c>
      <c r="S408" t="n">
        <v>4</v>
      </c>
      <c r="T408" t="n">
        <v>4</v>
      </c>
      <c r="U408" t="inlineStr">
        <is>
          <t>1992-03-02</t>
        </is>
      </c>
      <c r="V408" t="inlineStr">
        <is>
          <t>1992-03-02</t>
        </is>
      </c>
      <c r="W408" t="inlineStr">
        <is>
          <t>1990-07-17</t>
        </is>
      </c>
      <c r="X408" t="inlineStr">
        <is>
          <t>1990-07-17</t>
        </is>
      </c>
      <c r="Y408" t="n">
        <v>325</v>
      </c>
      <c r="Z408" t="n">
        <v>260</v>
      </c>
      <c r="AA408" t="n">
        <v>260</v>
      </c>
      <c r="AB408" t="n">
        <v>2</v>
      </c>
      <c r="AC408" t="n">
        <v>2</v>
      </c>
      <c r="AD408" t="n">
        <v>8</v>
      </c>
      <c r="AE408" t="n">
        <v>8</v>
      </c>
      <c r="AF408" t="n">
        <v>3</v>
      </c>
      <c r="AG408" t="n">
        <v>3</v>
      </c>
      <c r="AH408" t="n">
        <v>1</v>
      </c>
      <c r="AI408" t="n">
        <v>1</v>
      </c>
      <c r="AJ408" t="n">
        <v>4</v>
      </c>
      <c r="AK408" t="n">
        <v>4</v>
      </c>
      <c r="AL408" t="n">
        <v>1</v>
      </c>
      <c r="AM408" t="n">
        <v>1</v>
      </c>
      <c r="AN408" t="n">
        <v>0</v>
      </c>
      <c r="AO408" t="n">
        <v>0</v>
      </c>
      <c r="AP408" t="inlineStr">
        <is>
          <t>No</t>
        </is>
      </c>
      <c r="AQ408" t="inlineStr">
        <is>
          <t>No</t>
        </is>
      </c>
      <c r="AS408">
        <f>HYPERLINK("https://creighton-primo.hosted.exlibrisgroup.com/primo-explore/search?tab=default_tab&amp;search_scope=EVERYTHING&amp;vid=01CRU&amp;lang=en_US&amp;offset=0&amp;query=any,contains,991004517579702656","Catalog Record")</f>
        <v/>
      </c>
      <c r="AT408">
        <f>HYPERLINK("http://www.worldcat.org/oclc/3794403","WorldCat Record")</f>
        <v/>
      </c>
      <c r="AU408" t="inlineStr">
        <is>
          <t>9349356079:eng</t>
        </is>
      </c>
      <c r="AV408" t="inlineStr">
        <is>
          <t>3794403</t>
        </is>
      </c>
      <c r="AW408" t="inlineStr">
        <is>
          <t>991004517579702656</t>
        </is>
      </c>
      <c r="AX408" t="inlineStr">
        <is>
          <t>991004517579702656</t>
        </is>
      </c>
      <c r="AY408" t="inlineStr">
        <is>
          <t>2259331240002656</t>
        </is>
      </c>
      <c r="AZ408" t="inlineStr">
        <is>
          <t>BOOK</t>
        </is>
      </c>
      <c r="BB408" t="inlineStr">
        <is>
          <t>9780201003383</t>
        </is>
      </c>
      <c r="BC408" t="inlineStr">
        <is>
          <t>32285000238278</t>
        </is>
      </c>
      <c r="BD408" t="inlineStr">
        <is>
          <t>893618757</t>
        </is>
      </c>
    </row>
    <row r="409">
      <c r="A409" t="inlineStr">
        <is>
          <t>No</t>
        </is>
      </c>
      <c r="B409" t="inlineStr">
        <is>
          <t>BF319.5.B5 C3</t>
        </is>
      </c>
      <c r="C409" t="inlineStr">
        <is>
          <t>0                      BF 0319500B  5                  C  3</t>
        </is>
      </c>
      <c r="D409" t="inlineStr">
        <is>
          <t>The awakened mind : biofeedback and the development of higher states of awareness / C. Maxwell Cade &amp; Nona Coxhead.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Cade, C. Maxwell (Cecil Maxwell)</t>
        </is>
      </c>
      <c r="L409" t="inlineStr">
        <is>
          <t>New York : Delacorte Press/Eleanor Friede, c1979.</t>
        </is>
      </c>
      <c r="M409" t="inlineStr">
        <is>
          <t>1979</t>
        </is>
      </c>
      <c r="O409" t="inlineStr">
        <is>
          <t>eng</t>
        </is>
      </c>
      <c r="P409" t="inlineStr">
        <is>
          <t>nyu</t>
        </is>
      </c>
      <c r="R409" t="inlineStr">
        <is>
          <t xml:space="preserve">BF </t>
        </is>
      </c>
      <c r="S409" t="n">
        <v>3</v>
      </c>
      <c r="T409" t="n">
        <v>3</v>
      </c>
      <c r="U409" t="inlineStr">
        <is>
          <t>1997-04-18</t>
        </is>
      </c>
      <c r="V409" t="inlineStr">
        <is>
          <t>1997-04-18</t>
        </is>
      </c>
      <c r="W409" t="inlineStr">
        <is>
          <t>1992-04-15</t>
        </is>
      </c>
      <c r="X409" t="inlineStr">
        <is>
          <t>1992-04-15</t>
        </is>
      </c>
      <c r="Y409" t="n">
        <v>389</v>
      </c>
      <c r="Z409" t="n">
        <v>352</v>
      </c>
      <c r="AA409" t="n">
        <v>394</v>
      </c>
      <c r="AB409" t="n">
        <v>4</v>
      </c>
      <c r="AC409" t="n">
        <v>4</v>
      </c>
      <c r="AD409" t="n">
        <v>9</v>
      </c>
      <c r="AE409" t="n">
        <v>9</v>
      </c>
      <c r="AF409" t="n">
        <v>5</v>
      </c>
      <c r="AG409" t="n">
        <v>5</v>
      </c>
      <c r="AH409" t="n">
        <v>1</v>
      </c>
      <c r="AI409" t="n">
        <v>1</v>
      </c>
      <c r="AJ409" t="n">
        <v>4</v>
      </c>
      <c r="AK409" t="n">
        <v>4</v>
      </c>
      <c r="AL409" t="n">
        <v>2</v>
      </c>
      <c r="AM409" t="n">
        <v>2</v>
      </c>
      <c r="AN409" t="n">
        <v>0</v>
      </c>
      <c r="AO409" t="n">
        <v>0</v>
      </c>
      <c r="AP409" t="inlineStr">
        <is>
          <t>No</t>
        </is>
      </c>
      <c r="AQ409" t="inlineStr">
        <is>
          <t>No</t>
        </is>
      </c>
      <c r="AS409">
        <f>HYPERLINK("https://creighton-primo.hosted.exlibrisgroup.com/primo-explore/search?tab=default_tab&amp;search_scope=EVERYTHING&amp;vid=01CRU&amp;lang=en_US&amp;offset=0&amp;query=any,contains,991004605529702656","Catalog Record")</f>
        <v/>
      </c>
      <c r="AT409">
        <f>HYPERLINK("http://www.worldcat.org/oclc/4194330","WorldCat Record")</f>
        <v/>
      </c>
      <c r="AU409" t="inlineStr">
        <is>
          <t>8568402:eng</t>
        </is>
      </c>
      <c r="AV409" t="inlineStr">
        <is>
          <t>4194330</t>
        </is>
      </c>
      <c r="AW409" t="inlineStr">
        <is>
          <t>991004605529702656</t>
        </is>
      </c>
      <c r="AX409" t="inlineStr">
        <is>
          <t>991004605529702656</t>
        </is>
      </c>
      <c r="AY409" t="inlineStr">
        <is>
          <t>2262403050002656</t>
        </is>
      </c>
      <c r="AZ409" t="inlineStr">
        <is>
          <t>BOOK</t>
        </is>
      </c>
      <c r="BB409" t="inlineStr">
        <is>
          <t>9780440002444</t>
        </is>
      </c>
      <c r="BC409" t="inlineStr">
        <is>
          <t>32285001060507</t>
        </is>
      </c>
      <c r="BD409" t="inlineStr">
        <is>
          <t>893901424</t>
        </is>
      </c>
    </row>
    <row r="410">
      <c r="A410" t="inlineStr">
        <is>
          <t>No</t>
        </is>
      </c>
      <c r="B410" t="inlineStr">
        <is>
          <t>BF319.5.B5 J46</t>
        </is>
      </c>
      <c r="C410" t="inlineStr">
        <is>
          <t>0                      BF 0319500B  5                  J  46</t>
        </is>
      </c>
      <c r="D410" t="inlineStr">
        <is>
          <t>Your body--biofeedback at its best / Beata Jencks.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Jencks, Beata.</t>
        </is>
      </c>
      <c r="L410" t="inlineStr">
        <is>
          <t>Chicago : Nelson-Hall, c1977.</t>
        </is>
      </c>
      <c r="M410" t="inlineStr">
        <is>
          <t>1977</t>
        </is>
      </c>
      <c r="O410" t="inlineStr">
        <is>
          <t>eng</t>
        </is>
      </c>
      <c r="P410" t="inlineStr">
        <is>
          <t>ilu</t>
        </is>
      </c>
      <c r="R410" t="inlineStr">
        <is>
          <t xml:space="preserve">BF </t>
        </is>
      </c>
      <c r="S410" t="n">
        <v>4</v>
      </c>
      <c r="T410" t="n">
        <v>4</v>
      </c>
      <c r="U410" t="inlineStr">
        <is>
          <t>1997-04-18</t>
        </is>
      </c>
      <c r="V410" t="inlineStr">
        <is>
          <t>1997-04-18</t>
        </is>
      </c>
      <c r="W410" t="inlineStr">
        <is>
          <t>1991-11-05</t>
        </is>
      </c>
      <c r="X410" t="inlineStr">
        <is>
          <t>1991-11-05</t>
        </is>
      </c>
      <c r="Y410" t="n">
        <v>272</v>
      </c>
      <c r="Z410" t="n">
        <v>245</v>
      </c>
      <c r="AA410" t="n">
        <v>250</v>
      </c>
      <c r="AB410" t="n">
        <v>3</v>
      </c>
      <c r="AC410" t="n">
        <v>3</v>
      </c>
      <c r="AD410" t="n">
        <v>6</v>
      </c>
      <c r="AE410" t="n">
        <v>6</v>
      </c>
      <c r="AF410" t="n">
        <v>3</v>
      </c>
      <c r="AG410" t="n">
        <v>3</v>
      </c>
      <c r="AH410" t="n">
        <v>1</v>
      </c>
      <c r="AI410" t="n">
        <v>1</v>
      </c>
      <c r="AJ410" t="n">
        <v>3</v>
      </c>
      <c r="AK410" t="n">
        <v>3</v>
      </c>
      <c r="AL410" t="n">
        <v>2</v>
      </c>
      <c r="AM410" t="n">
        <v>2</v>
      </c>
      <c r="AN410" t="n">
        <v>0</v>
      </c>
      <c r="AO410" t="n">
        <v>0</v>
      </c>
      <c r="AP410" t="inlineStr">
        <is>
          <t>No</t>
        </is>
      </c>
      <c r="AQ410" t="inlineStr">
        <is>
          <t>No</t>
        </is>
      </c>
      <c r="AS410">
        <f>HYPERLINK("https://creighton-primo.hosted.exlibrisgroup.com/primo-explore/search?tab=default_tab&amp;search_scope=EVERYTHING&amp;vid=01CRU&amp;lang=en_US&amp;offset=0&amp;query=any,contains,991004369909702656","Catalog Record")</f>
        <v/>
      </c>
      <c r="AT410">
        <f>HYPERLINK("http://www.worldcat.org/oclc/3186534","WorldCat Record")</f>
        <v/>
      </c>
      <c r="AU410" t="inlineStr">
        <is>
          <t>541359:eng</t>
        </is>
      </c>
      <c r="AV410" t="inlineStr">
        <is>
          <t>3186534</t>
        </is>
      </c>
      <c r="AW410" t="inlineStr">
        <is>
          <t>991004369909702656</t>
        </is>
      </c>
      <c r="AX410" t="inlineStr">
        <is>
          <t>991004369909702656</t>
        </is>
      </c>
      <c r="AY410" t="inlineStr">
        <is>
          <t>2259953700002656</t>
        </is>
      </c>
      <c r="AZ410" t="inlineStr">
        <is>
          <t>BOOK</t>
        </is>
      </c>
      <c r="BB410" t="inlineStr">
        <is>
          <t>9780882293516</t>
        </is>
      </c>
      <c r="BC410" t="inlineStr">
        <is>
          <t>32285000795806</t>
        </is>
      </c>
      <c r="BD410" t="inlineStr">
        <is>
          <t>893800899</t>
        </is>
      </c>
    </row>
    <row r="411">
      <c r="A411" t="inlineStr">
        <is>
          <t>No</t>
        </is>
      </c>
      <c r="B411" t="inlineStr">
        <is>
          <t>BF319.5.B5 S73</t>
        </is>
      </c>
      <c r="C411" t="inlineStr">
        <is>
          <t>0                      BF 0319500B  5                  S  73</t>
        </is>
      </c>
      <c r="D411" t="inlineStr">
        <is>
          <t>Biofeedback : how to control your body, improve your health, and increase your effectiveness / Robert M. Stern, William J. Ray.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Stern, Robert Morris, 1937-</t>
        </is>
      </c>
      <c r="L411" t="inlineStr">
        <is>
          <t>Homewood, Ill. : Dow Jones-Irwin, 1977.</t>
        </is>
      </c>
      <c r="M411" t="inlineStr">
        <is>
          <t>1977</t>
        </is>
      </c>
      <c r="O411" t="inlineStr">
        <is>
          <t>eng</t>
        </is>
      </c>
      <c r="P411" t="inlineStr">
        <is>
          <t>ilu</t>
        </is>
      </c>
      <c r="R411" t="inlineStr">
        <is>
          <t xml:space="preserve">BF </t>
        </is>
      </c>
      <c r="S411" t="n">
        <v>4</v>
      </c>
      <c r="T411" t="n">
        <v>4</v>
      </c>
      <c r="U411" t="inlineStr">
        <is>
          <t>1997-02-13</t>
        </is>
      </c>
      <c r="V411" t="inlineStr">
        <is>
          <t>1997-02-13</t>
        </is>
      </c>
      <c r="W411" t="inlineStr">
        <is>
          <t>1991-05-06</t>
        </is>
      </c>
      <c r="X411" t="inlineStr">
        <is>
          <t>1991-05-06</t>
        </is>
      </c>
      <c r="Y411" t="n">
        <v>226</v>
      </c>
      <c r="Z411" t="n">
        <v>204</v>
      </c>
      <c r="AA411" t="n">
        <v>204</v>
      </c>
      <c r="AB411" t="n">
        <v>2</v>
      </c>
      <c r="AC411" t="n">
        <v>2</v>
      </c>
      <c r="AD411" t="n">
        <v>6</v>
      </c>
      <c r="AE411" t="n">
        <v>6</v>
      </c>
      <c r="AF411" t="n">
        <v>2</v>
      </c>
      <c r="AG411" t="n">
        <v>2</v>
      </c>
      <c r="AH411" t="n">
        <v>0</v>
      </c>
      <c r="AI411" t="n">
        <v>0</v>
      </c>
      <c r="AJ411" t="n">
        <v>5</v>
      </c>
      <c r="AK411" t="n">
        <v>5</v>
      </c>
      <c r="AL411" t="n">
        <v>1</v>
      </c>
      <c r="AM411" t="n">
        <v>1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HYPERLINK("https://creighton-primo.hosted.exlibrisgroup.com/primo-explore/search?tab=default_tab&amp;search_scope=EVERYTHING&amp;vid=01CRU&amp;lang=en_US&amp;offset=0&amp;query=any,contains,991004348859702656","Catalog Record")</f>
        <v/>
      </c>
      <c r="AT411">
        <f>HYPERLINK("http://www.worldcat.org/oclc/3110452","WorldCat Record")</f>
        <v/>
      </c>
      <c r="AU411" t="inlineStr">
        <is>
          <t>2261051822:eng</t>
        </is>
      </c>
      <c r="AV411" t="inlineStr">
        <is>
          <t>3110452</t>
        </is>
      </c>
      <c r="AW411" t="inlineStr">
        <is>
          <t>991004348859702656</t>
        </is>
      </c>
      <c r="AX411" t="inlineStr">
        <is>
          <t>991004348859702656</t>
        </is>
      </c>
      <c r="AY411" t="inlineStr">
        <is>
          <t>2265996370002656</t>
        </is>
      </c>
      <c r="AZ411" t="inlineStr">
        <is>
          <t>BOOK</t>
        </is>
      </c>
      <c r="BB411" t="inlineStr">
        <is>
          <t>9780870941399</t>
        </is>
      </c>
      <c r="BC411" t="inlineStr">
        <is>
          <t>32285000601236</t>
        </is>
      </c>
      <c r="BD411" t="inlineStr">
        <is>
          <t>893519541</t>
        </is>
      </c>
    </row>
    <row r="412">
      <c r="A412" t="inlineStr">
        <is>
          <t>No</t>
        </is>
      </c>
      <c r="B412" t="inlineStr">
        <is>
          <t>BF319.5.F4 A5</t>
        </is>
      </c>
      <c r="C412" t="inlineStr">
        <is>
          <t>0                      BF 0319500F  4                  A  5</t>
        </is>
      </c>
      <c r="D412" t="inlineStr">
        <is>
          <t>Feedback and human behaviour; the effects of knowledge of results, incentives, and reinforcement on learning and performance.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Annett, John.</t>
        </is>
      </c>
      <c r="L412" t="inlineStr">
        <is>
          <t>Baltimore, Penguin Books [1969]</t>
        </is>
      </c>
      <c r="M412" t="inlineStr">
        <is>
          <t>1969</t>
        </is>
      </c>
      <c r="O412" t="inlineStr">
        <is>
          <t>eng</t>
        </is>
      </c>
      <c r="P412" t="inlineStr">
        <is>
          <t>mdu</t>
        </is>
      </c>
      <c r="Q412" t="inlineStr">
        <is>
          <t>Penguin Education</t>
        </is>
      </c>
      <c r="R412" t="inlineStr">
        <is>
          <t xml:space="preserve">BF </t>
        </is>
      </c>
      <c r="S412" t="n">
        <v>5</v>
      </c>
      <c r="T412" t="n">
        <v>5</v>
      </c>
      <c r="U412" t="inlineStr">
        <is>
          <t>2004-12-05</t>
        </is>
      </c>
      <c r="V412" t="inlineStr">
        <is>
          <t>2004-12-05</t>
        </is>
      </c>
      <c r="W412" t="inlineStr">
        <is>
          <t>1996-07-26</t>
        </is>
      </c>
      <c r="X412" t="inlineStr">
        <is>
          <t>1996-07-26</t>
        </is>
      </c>
      <c r="Y412" t="n">
        <v>205</v>
      </c>
      <c r="Z412" t="n">
        <v>159</v>
      </c>
      <c r="AA412" t="n">
        <v>219</v>
      </c>
      <c r="AB412" t="n">
        <v>5</v>
      </c>
      <c r="AC412" t="n">
        <v>5</v>
      </c>
      <c r="AD412" t="n">
        <v>12</v>
      </c>
      <c r="AE412" t="n">
        <v>12</v>
      </c>
      <c r="AF412" t="n">
        <v>3</v>
      </c>
      <c r="AG412" t="n">
        <v>3</v>
      </c>
      <c r="AH412" t="n">
        <v>2</v>
      </c>
      <c r="AI412" t="n">
        <v>2</v>
      </c>
      <c r="AJ412" t="n">
        <v>3</v>
      </c>
      <c r="AK412" t="n">
        <v>3</v>
      </c>
      <c r="AL412" t="n">
        <v>4</v>
      </c>
      <c r="AM412" t="n">
        <v>4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HYPERLINK("https://creighton-primo.hosted.exlibrisgroup.com/primo-explore/search?tab=default_tab&amp;search_scope=EVERYTHING&amp;vid=01CRU&amp;lang=en_US&amp;offset=0&amp;query=any,contains,991000127699702656","Catalog Record")</f>
        <v/>
      </c>
      <c r="AT412">
        <f>HYPERLINK("http://www.worldcat.org/oclc/52668","WorldCat Record")</f>
        <v/>
      </c>
      <c r="AU412" t="inlineStr">
        <is>
          <t>53929077:eng</t>
        </is>
      </c>
      <c r="AV412" t="inlineStr">
        <is>
          <t>52668</t>
        </is>
      </c>
      <c r="AW412" t="inlineStr">
        <is>
          <t>991000127699702656</t>
        </is>
      </c>
      <c r="AX412" t="inlineStr">
        <is>
          <t>991000127699702656</t>
        </is>
      </c>
      <c r="AY412" t="inlineStr">
        <is>
          <t>2259213880002656</t>
        </is>
      </c>
      <c r="AZ412" t="inlineStr">
        <is>
          <t>BOOK</t>
        </is>
      </c>
      <c r="BC412" t="inlineStr">
        <is>
          <t>32285002246782</t>
        </is>
      </c>
      <c r="BD412" t="inlineStr">
        <is>
          <t>893601485</t>
        </is>
      </c>
    </row>
    <row r="413">
      <c r="A413" t="inlineStr">
        <is>
          <t>No</t>
        </is>
      </c>
      <c r="B413" t="inlineStr">
        <is>
          <t>BF319.5.O6 G4</t>
        </is>
      </c>
      <c r="C413" t="inlineStr">
        <is>
          <t>0                      BF 0319500O  6                  G  4</t>
        </is>
      </c>
      <c r="D413" t="inlineStr">
        <is>
          <t>Behavior mod and the managed society / Robert L. Geiser. --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Geiser, Robert L.</t>
        </is>
      </c>
      <c r="L413" t="inlineStr">
        <is>
          <t>Boston : Beacon Press, c1976.</t>
        </is>
      </c>
      <c r="M413" t="inlineStr">
        <is>
          <t>1976</t>
        </is>
      </c>
      <c r="O413" t="inlineStr">
        <is>
          <t>eng</t>
        </is>
      </c>
      <c r="P413" t="inlineStr">
        <is>
          <t>mau</t>
        </is>
      </c>
      <c r="R413" t="inlineStr">
        <is>
          <t xml:space="preserve">BF </t>
        </is>
      </c>
      <c r="S413" t="n">
        <v>6</v>
      </c>
      <c r="T413" t="n">
        <v>6</v>
      </c>
      <c r="U413" t="inlineStr">
        <is>
          <t>2005-10-19</t>
        </is>
      </c>
      <c r="V413" t="inlineStr">
        <is>
          <t>2005-10-19</t>
        </is>
      </c>
      <c r="W413" t="inlineStr">
        <is>
          <t>1991-05-06</t>
        </is>
      </c>
      <c r="X413" t="inlineStr">
        <is>
          <t>1991-05-06</t>
        </is>
      </c>
      <c r="Y413" t="n">
        <v>550</v>
      </c>
      <c r="Z413" t="n">
        <v>479</v>
      </c>
      <c r="AA413" t="n">
        <v>480</v>
      </c>
      <c r="AB413" t="n">
        <v>6</v>
      </c>
      <c r="AC413" t="n">
        <v>6</v>
      </c>
      <c r="AD413" t="n">
        <v>19</v>
      </c>
      <c r="AE413" t="n">
        <v>19</v>
      </c>
      <c r="AF413" t="n">
        <v>8</v>
      </c>
      <c r="AG413" t="n">
        <v>8</v>
      </c>
      <c r="AH413" t="n">
        <v>2</v>
      </c>
      <c r="AI413" t="n">
        <v>2</v>
      </c>
      <c r="AJ413" t="n">
        <v>9</v>
      </c>
      <c r="AK413" t="n">
        <v>9</v>
      </c>
      <c r="AL413" t="n">
        <v>4</v>
      </c>
      <c r="AM413" t="n">
        <v>4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HYPERLINK("http://catalog.hathitrust.org/Record/000716885","HathiTrust Record")</f>
        <v/>
      </c>
      <c r="AS413">
        <f>HYPERLINK("https://creighton-primo.hosted.exlibrisgroup.com/primo-explore/search?tab=default_tab&amp;search_scope=EVERYTHING&amp;vid=01CRU&amp;lang=en_US&amp;offset=0&amp;query=any,contains,991003960819702656","Catalog Record")</f>
        <v/>
      </c>
      <c r="AT413">
        <f>HYPERLINK("http://www.worldcat.org/oclc/1975092","WorldCat Record")</f>
        <v/>
      </c>
      <c r="AU413" t="inlineStr">
        <is>
          <t>2733482:eng</t>
        </is>
      </c>
      <c r="AV413" t="inlineStr">
        <is>
          <t>1975092</t>
        </is>
      </c>
      <c r="AW413" t="inlineStr">
        <is>
          <t>991003960819702656</t>
        </is>
      </c>
      <c r="AX413" t="inlineStr">
        <is>
          <t>991003960819702656</t>
        </is>
      </c>
      <c r="AY413" t="inlineStr">
        <is>
          <t>2262545600002656</t>
        </is>
      </c>
      <c r="AZ413" t="inlineStr">
        <is>
          <t>BOOK</t>
        </is>
      </c>
      <c r="BB413" t="inlineStr">
        <is>
          <t>9780807029602</t>
        </is>
      </c>
      <c r="BC413" t="inlineStr">
        <is>
          <t>32285000601251</t>
        </is>
      </c>
      <c r="BD413" t="inlineStr">
        <is>
          <t>893253069</t>
        </is>
      </c>
    </row>
    <row r="414">
      <c r="A414" t="inlineStr">
        <is>
          <t>No</t>
        </is>
      </c>
      <c r="B414" t="inlineStr">
        <is>
          <t>BF319.5.O6 W47</t>
        </is>
      </c>
      <c r="C414" t="inlineStr">
        <is>
          <t>0                      BF 0319500O  6                  W  47</t>
        </is>
      </c>
      <c r="D414" t="inlineStr">
        <is>
          <t>Beyond the punitive society; operant conditioning: social and political aspects. Edited by Harvey Wheeler.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Wheeler, Harvey, 1918-2004.</t>
        </is>
      </c>
      <c r="L414" t="inlineStr">
        <is>
          <t>San Francisco, W. H. Freeman [1973]</t>
        </is>
      </c>
      <c r="M414" t="inlineStr">
        <is>
          <t>1973</t>
        </is>
      </c>
      <c r="O414" t="inlineStr">
        <is>
          <t>eng</t>
        </is>
      </c>
      <c r="P414" t="inlineStr">
        <is>
          <t>cau</t>
        </is>
      </c>
      <c r="R414" t="inlineStr">
        <is>
          <t xml:space="preserve">BF </t>
        </is>
      </c>
      <c r="S414" t="n">
        <v>3</v>
      </c>
      <c r="T414" t="n">
        <v>3</v>
      </c>
      <c r="U414" t="inlineStr">
        <is>
          <t>1999-04-18</t>
        </is>
      </c>
      <c r="V414" t="inlineStr">
        <is>
          <t>1999-04-18</t>
        </is>
      </c>
      <c r="W414" t="inlineStr">
        <is>
          <t>1996-07-26</t>
        </is>
      </c>
      <c r="X414" t="inlineStr">
        <is>
          <t>1996-07-26</t>
        </is>
      </c>
      <c r="Y414" t="n">
        <v>1008</v>
      </c>
      <c r="Z414" t="n">
        <v>895</v>
      </c>
      <c r="AA414" t="n">
        <v>904</v>
      </c>
      <c r="AB414" t="n">
        <v>7</v>
      </c>
      <c r="AC414" t="n">
        <v>7</v>
      </c>
      <c r="AD414" t="n">
        <v>46</v>
      </c>
      <c r="AE414" t="n">
        <v>46</v>
      </c>
      <c r="AF414" t="n">
        <v>17</v>
      </c>
      <c r="AG414" t="n">
        <v>17</v>
      </c>
      <c r="AH414" t="n">
        <v>9</v>
      </c>
      <c r="AI414" t="n">
        <v>9</v>
      </c>
      <c r="AJ414" t="n">
        <v>17</v>
      </c>
      <c r="AK414" t="n">
        <v>17</v>
      </c>
      <c r="AL414" t="n">
        <v>6</v>
      </c>
      <c r="AM414" t="n">
        <v>6</v>
      </c>
      <c r="AN414" t="n">
        <v>5</v>
      </c>
      <c r="AO414" t="n">
        <v>5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HYPERLINK("https://creighton-primo.hosted.exlibrisgroup.com/primo-explore/search?tab=default_tab&amp;search_scope=EVERYTHING&amp;vid=01CRU&amp;lang=en_US&amp;offset=0&amp;query=any,contains,991003005769702656","Catalog Record")</f>
        <v/>
      </c>
      <c r="AT414">
        <f>HYPERLINK("http://www.worldcat.org/oclc/572872","WorldCat Record")</f>
        <v/>
      </c>
      <c r="AU414" t="inlineStr">
        <is>
          <t>502855361:eng</t>
        </is>
      </c>
      <c r="AV414" t="inlineStr">
        <is>
          <t>572872</t>
        </is>
      </c>
      <c r="AW414" t="inlineStr">
        <is>
          <t>991003005769702656</t>
        </is>
      </c>
      <c r="AX414" t="inlineStr">
        <is>
          <t>991003005769702656</t>
        </is>
      </c>
      <c r="AY414" t="inlineStr">
        <is>
          <t>2272574580002656</t>
        </is>
      </c>
      <c r="AZ414" t="inlineStr">
        <is>
          <t>BOOK</t>
        </is>
      </c>
      <c r="BB414" t="inlineStr">
        <is>
          <t>9780716707851</t>
        </is>
      </c>
      <c r="BC414" t="inlineStr">
        <is>
          <t>32285002246857</t>
        </is>
      </c>
      <c r="BD414" t="inlineStr">
        <is>
          <t>893774288</t>
        </is>
      </c>
    </row>
    <row r="415">
      <c r="A415" t="inlineStr">
        <is>
          <t>No</t>
        </is>
      </c>
      <c r="B415" t="inlineStr">
        <is>
          <t>BF319.5.P8 C63 1967</t>
        </is>
      </c>
      <c r="C415" t="inlineStr">
        <is>
          <t>0                      BF 0319500P  8                  C  63          1967</t>
        </is>
      </c>
      <c r="D415" t="inlineStr">
        <is>
          <t>Punishment and aversive behavior / edited by Byron A. Campbell [and] Russell M. Church.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Conference on Punishment (1967 : Princeton, N.J.)</t>
        </is>
      </c>
      <c r="L415" t="inlineStr">
        <is>
          <t>New York : Appleton-Century-Crofts, [1969]</t>
        </is>
      </c>
      <c r="M415" t="inlineStr">
        <is>
          <t>1969</t>
        </is>
      </c>
      <c r="O415" t="inlineStr">
        <is>
          <t>eng</t>
        </is>
      </c>
      <c r="P415" t="inlineStr">
        <is>
          <t>nyu</t>
        </is>
      </c>
      <c r="Q415" t="inlineStr">
        <is>
          <t>The Century psychology series</t>
        </is>
      </c>
      <c r="R415" t="inlineStr">
        <is>
          <t xml:space="preserve">BF </t>
        </is>
      </c>
      <c r="S415" t="n">
        <v>3</v>
      </c>
      <c r="T415" t="n">
        <v>3</v>
      </c>
      <c r="U415" t="inlineStr">
        <is>
          <t>1997-02-02</t>
        </is>
      </c>
      <c r="V415" t="inlineStr">
        <is>
          <t>1997-02-02</t>
        </is>
      </c>
      <c r="W415" t="inlineStr">
        <is>
          <t>1992-11-04</t>
        </is>
      </c>
      <c r="X415" t="inlineStr">
        <is>
          <t>1992-11-04</t>
        </is>
      </c>
      <c r="Y415" t="n">
        <v>754</v>
      </c>
      <c r="Z415" t="n">
        <v>624</v>
      </c>
      <c r="AA415" t="n">
        <v>627</v>
      </c>
      <c r="AB415" t="n">
        <v>7</v>
      </c>
      <c r="AC415" t="n">
        <v>7</v>
      </c>
      <c r="AD415" t="n">
        <v>32</v>
      </c>
      <c r="AE415" t="n">
        <v>32</v>
      </c>
      <c r="AF415" t="n">
        <v>13</v>
      </c>
      <c r="AG415" t="n">
        <v>13</v>
      </c>
      <c r="AH415" t="n">
        <v>6</v>
      </c>
      <c r="AI415" t="n">
        <v>6</v>
      </c>
      <c r="AJ415" t="n">
        <v>14</v>
      </c>
      <c r="AK415" t="n">
        <v>14</v>
      </c>
      <c r="AL415" t="n">
        <v>5</v>
      </c>
      <c r="AM415" t="n">
        <v>5</v>
      </c>
      <c r="AN415" t="n">
        <v>3</v>
      </c>
      <c r="AO415" t="n">
        <v>3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HYPERLINK("http://catalog.hathitrust.org/Record/000355096","HathiTrust Record")</f>
        <v/>
      </c>
      <c r="AS415">
        <f>HYPERLINK("https://creighton-primo.hosted.exlibrisgroup.com/primo-explore/search?tab=default_tab&amp;search_scope=EVERYTHING&amp;vid=01CRU&amp;lang=en_US&amp;offset=0&amp;query=any,contains,991000127029702656","Catalog Record")</f>
        <v/>
      </c>
      <c r="AT415">
        <f>HYPERLINK("http://www.worldcat.org/oclc/52376","WorldCat Record")</f>
        <v/>
      </c>
      <c r="AU415" t="inlineStr">
        <is>
          <t>1090984964:eng</t>
        </is>
      </c>
      <c r="AV415" t="inlineStr">
        <is>
          <t>52376</t>
        </is>
      </c>
      <c r="AW415" t="inlineStr">
        <is>
          <t>991000127029702656</t>
        </is>
      </c>
      <c r="AX415" t="inlineStr">
        <is>
          <t>991000127029702656</t>
        </is>
      </c>
      <c r="AY415" t="inlineStr">
        <is>
          <t>2259111270002656</t>
        </is>
      </c>
      <c r="AZ415" t="inlineStr">
        <is>
          <t>BOOK</t>
        </is>
      </c>
      <c r="BB415" t="inlineStr">
        <is>
          <t>9780390168658</t>
        </is>
      </c>
      <c r="BC415" t="inlineStr">
        <is>
          <t>32285001380798</t>
        </is>
      </c>
      <c r="BD415" t="inlineStr">
        <is>
          <t>893771416</t>
        </is>
      </c>
    </row>
    <row r="416">
      <c r="A416" t="inlineStr">
        <is>
          <t>No</t>
        </is>
      </c>
      <c r="B416" t="inlineStr">
        <is>
          <t>BF319.5.P8 E34 1983</t>
        </is>
      </c>
      <c r="C416" t="inlineStr">
        <is>
          <t>0                      BF 0319500P  8                  E  34          1983</t>
        </is>
      </c>
      <c r="D416" t="inlineStr">
        <is>
          <t>The Effects of punishment on human behavior / edited by Saul Axelrod, Jack Apsche ; contributors, Saul Axelrod ... [et al.].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L416" t="inlineStr">
        <is>
          <t>New York : Academic Press, 1983.</t>
        </is>
      </c>
      <c r="M416" t="inlineStr">
        <is>
          <t>1983</t>
        </is>
      </c>
      <c r="O416" t="inlineStr">
        <is>
          <t>eng</t>
        </is>
      </c>
      <c r="P416" t="inlineStr">
        <is>
          <t>nyu</t>
        </is>
      </c>
      <c r="R416" t="inlineStr">
        <is>
          <t xml:space="preserve">BF </t>
        </is>
      </c>
      <c r="S416" t="n">
        <v>11</v>
      </c>
      <c r="T416" t="n">
        <v>11</v>
      </c>
      <c r="U416" t="inlineStr">
        <is>
          <t>1997-03-07</t>
        </is>
      </c>
      <c r="V416" t="inlineStr">
        <is>
          <t>1997-03-07</t>
        </is>
      </c>
      <c r="W416" t="inlineStr">
        <is>
          <t>1991-05-06</t>
        </is>
      </c>
      <c r="X416" t="inlineStr">
        <is>
          <t>1991-05-06</t>
        </is>
      </c>
      <c r="Y416" t="n">
        <v>837</v>
      </c>
      <c r="Z416" t="n">
        <v>669</v>
      </c>
      <c r="AA416" t="n">
        <v>706</v>
      </c>
      <c r="AB416" t="n">
        <v>6</v>
      </c>
      <c r="AC416" t="n">
        <v>6</v>
      </c>
      <c r="AD416" t="n">
        <v>37</v>
      </c>
      <c r="AE416" t="n">
        <v>39</v>
      </c>
      <c r="AF416" t="n">
        <v>15</v>
      </c>
      <c r="AG416" t="n">
        <v>16</v>
      </c>
      <c r="AH416" t="n">
        <v>7</v>
      </c>
      <c r="AI416" t="n">
        <v>8</v>
      </c>
      <c r="AJ416" t="n">
        <v>16</v>
      </c>
      <c r="AK416" t="n">
        <v>16</v>
      </c>
      <c r="AL416" t="n">
        <v>4</v>
      </c>
      <c r="AM416" t="n">
        <v>4</v>
      </c>
      <c r="AN416" t="n">
        <v>4</v>
      </c>
      <c r="AO416" t="n">
        <v>4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HYPERLINK("http://catalog.hathitrust.org/Record/000110934","HathiTrust Record")</f>
        <v/>
      </c>
      <c r="AS416">
        <f>HYPERLINK("https://creighton-primo.hosted.exlibrisgroup.com/primo-explore/search?tab=default_tab&amp;search_scope=EVERYTHING&amp;vid=01CRU&amp;lang=en_US&amp;offset=0&amp;query=any,contains,991000055829702656","Catalog Record")</f>
        <v/>
      </c>
      <c r="AT416">
        <f>HYPERLINK("http://www.worldcat.org/oclc/8708928","WorldCat Record")</f>
        <v/>
      </c>
      <c r="AU416" t="inlineStr">
        <is>
          <t>351179799:eng</t>
        </is>
      </c>
      <c r="AV416" t="inlineStr">
        <is>
          <t>8708928</t>
        </is>
      </c>
      <c r="AW416" t="inlineStr">
        <is>
          <t>991000055829702656</t>
        </is>
      </c>
      <c r="AX416" t="inlineStr">
        <is>
          <t>991000055829702656</t>
        </is>
      </c>
      <c r="AY416" t="inlineStr">
        <is>
          <t>2256925600002656</t>
        </is>
      </c>
      <c r="AZ416" t="inlineStr">
        <is>
          <t>BOOK</t>
        </is>
      </c>
      <c r="BB416" t="inlineStr">
        <is>
          <t>9780120687404</t>
        </is>
      </c>
      <c r="BC416" t="inlineStr">
        <is>
          <t>32285000601285</t>
        </is>
      </c>
      <c r="BD416" t="inlineStr">
        <is>
          <t>893444178</t>
        </is>
      </c>
    </row>
    <row r="417">
      <c r="A417" t="inlineStr">
        <is>
          <t>No</t>
        </is>
      </c>
      <c r="B417" t="inlineStr">
        <is>
          <t>BF319.5.R4 C6</t>
        </is>
      </c>
      <c r="C417" t="inlineStr">
        <is>
          <t>0                      BF 0319500R  4                  C  6</t>
        </is>
      </c>
      <c r="D417" t="inlineStr">
        <is>
          <t>Conditioned reinforcement / edited by Derek P. Hendry.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Homewood, Ill. : Dorsey Press, 1969.</t>
        </is>
      </c>
      <c r="M417" t="inlineStr">
        <is>
          <t>1969</t>
        </is>
      </c>
      <c r="O417" t="inlineStr">
        <is>
          <t>eng</t>
        </is>
      </c>
      <c r="P417" t="inlineStr">
        <is>
          <t>ilu</t>
        </is>
      </c>
      <c r="Q417" t="inlineStr">
        <is>
          <t>The Dorsey series in psychology</t>
        </is>
      </c>
      <c r="R417" t="inlineStr">
        <is>
          <t xml:space="preserve">BF </t>
        </is>
      </c>
      <c r="S417" t="n">
        <v>6</v>
      </c>
      <c r="T417" t="n">
        <v>6</v>
      </c>
      <c r="U417" t="inlineStr">
        <is>
          <t>1999-04-14</t>
        </is>
      </c>
      <c r="V417" t="inlineStr">
        <is>
          <t>1999-04-14</t>
        </is>
      </c>
      <c r="W417" t="inlineStr">
        <is>
          <t>1990-09-06</t>
        </is>
      </c>
      <c r="X417" t="inlineStr">
        <is>
          <t>1990-09-06</t>
        </is>
      </c>
      <c r="Y417" t="n">
        <v>460</v>
      </c>
      <c r="Z417" t="n">
        <v>369</v>
      </c>
      <c r="AA417" t="n">
        <v>377</v>
      </c>
      <c r="AB417" t="n">
        <v>3</v>
      </c>
      <c r="AC417" t="n">
        <v>3</v>
      </c>
      <c r="AD417" t="n">
        <v>17</v>
      </c>
      <c r="AE417" t="n">
        <v>17</v>
      </c>
      <c r="AF417" t="n">
        <v>8</v>
      </c>
      <c r="AG417" t="n">
        <v>8</v>
      </c>
      <c r="AH417" t="n">
        <v>2</v>
      </c>
      <c r="AI417" t="n">
        <v>2</v>
      </c>
      <c r="AJ417" t="n">
        <v>11</v>
      </c>
      <c r="AK417" t="n">
        <v>11</v>
      </c>
      <c r="AL417" t="n">
        <v>2</v>
      </c>
      <c r="AM417" t="n">
        <v>2</v>
      </c>
      <c r="AN417" t="n">
        <v>0</v>
      </c>
      <c r="AO417" t="n">
        <v>0</v>
      </c>
      <c r="AP417" t="inlineStr">
        <is>
          <t>No</t>
        </is>
      </c>
      <c r="AQ417" t="inlineStr">
        <is>
          <t>Yes</t>
        </is>
      </c>
      <c r="AR417">
        <f>HYPERLINK("http://catalog.hathitrust.org/Record/000355318","HathiTrust Record")</f>
        <v/>
      </c>
      <c r="AS417">
        <f>HYPERLINK("https://creighton-primo.hosted.exlibrisgroup.com/primo-explore/search?tab=default_tab&amp;search_scope=EVERYTHING&amp;vid=01CRU&amp;lang=en_US&amp;offset=0&amp;query=any,contains,991000088689702656","Catalog Record")</f>
        <v/>
      </c>
      <c r="AT417">
        <f>HYPERLINK("http://www.worldcat.org/oclc/34644","WorldCat Record")</f>
        <v/>
      </c>
      <c r="AU417" t="inlineStr">
        <is>
          <t>1091239092:eng</t>
        </is>
      </c>
      <c r="AV417" t="inlineStr">
        <is>
          <t>34644</t>
        </is>
      </c>
      <c r="AW417" t="inlineStr">
        <is>
          <t>991000088689702656</t>
        </is>
      </c>
      <c r="AX417" t="inlineStr">
        <is>
          <t>991000088689702656</t>
        </is>
      </c>
      <c r="AY417" t="inlineStr">
        <is>
          <t>2259740160002656</t>
        </is>
      </c>
      <c r="AZ417" t="inlineStr">
        <is>
          <t>BOOK</t>
        </is>
      </c>
      <c r="BC417" t="inlineStr">
        <is>
          <t>32285000300896</t>
        </is>
      </c>
      <c r="BD417" t="inlineStr">
        <is>
          <t>893771367</t>
        </is>
      </c>
    </row>
    <row r="418">
      <c r="A418" t="inlineStr">
        <is>
          <t>No</t>
        </is>
      </c>
      <c r="B418" t="inlineStr">
        <is>
          <t>BF319.5.R48 H5</t>
        </is>
      </c>
      <c r="C418" t="inlineStr">
        <is>
          <t>0                      BF 0319500R  48                 H  5</t>
        </is>
      </c>
      <c r="D418" t="inlineStr">
        <is>
          <t>The Hidden costs of reward : new perspectives on the psychology of human motivation / edited by Mark R. Lepper, David Greene.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L418" t="inlineStr">
        <is>
          <t>Hillsdale, N.J. : L. Erlbaum Associates ; New York : distributed by Halsted Press, 1978.</t>
        </is>
      </c>
      <c r="M418" t="inlineStr">
        <is>
          <t>1978</t>
        </is>
      </c>
      <c r="O418" t="inlineStr">
        <is>
          <t>eng</t>
        </is>
      </c>
      <c r="P418" t="inlineStr">
        <is>
          <t>nju</t>
        </is>
      </c>
      <c r="R418" t="inlineStr">
        <is>
          <t xml:space="preserve">BF </t>
        </is>
      </c>
      <c r="S418" t="n">
        <v>8</v>
      </c>
      <c r="T418" t="n">
        <v>8</v>
      </c>
      <c r="U418" t="inlineStr">
        <is>
          <t>2007-10-08</t>
        </is>
      </c>
      <c r="V418" t="inlineStr">
        <is>
          <t>2007-10-08</t>
        </is>
      </c>
      <c r="W418" t="inlineStr">
        <is>
          <t>1991-05-06</t>
        </is>
      </c>
      <c r="X418" t="inlineStr">
        <is>
          <t>1991-05-06</t>
        </is>
      </c>
      <c r="Y418" t="n">
        <v>651</v>
      </c>
      <c r="Z418" t="n">
        <v>513</v>
      </c>
      <c r="AA418" t="n">
        <v>556</v>
      </c>
      <c r="AB418" t="n">
        <v>5</v>
      </c>
      <c r="AC418" t="n">
        <v>5</v>
      </c>
      <c r="AD418" t="n">
        <v>27</v>
      </c>
      <c r="AE418" t="n">
        <v>27</v>
      </c>
      <c r="AF418" t="n">
        <v>11</v>
      </c>
      <c r="AG418" t="n">
        <v>11</v>
      </c>
      <c r="AH418" t="n">
        <v>7</v>
      </c>
      <c r="AI418" t="n">
        <v>7</v>
      </c>
      <c r="AJ418" t="n">
        <v>14</v>
      </c>
      <c r="AK418" t="n">
        <v>14</v>
      </c>
      <c r="AL418" t="n">
        <v>3</v>
      </c>
      <c r="AM418" t="n">
        <v>3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HYPERLINK("http://catalog.hathitrust.org/Record/000179614","HathiTrust Record")</f>
        <v/>
      </c>
      <c r="AS418">
        <f>HYPERLINK("https://creighton-primo.hosted.exlibrisgroup.com/primo-explore/search?tab=default_tab&amp;search_scope=EVERYTHING&amp;vid=01CRU&amp;lang=en_US&amp;offset=0&amp;query=any,contains,991004589609702656","Catalog Record")</f>
        <v/>
      </c>
      <c r="AT418">
        <f>HYPERLINK("http://www.worldcat.org/oclc/4114382","WorldCat Record")</f>
        <v/>
      </c>
      <c r="AU418" t="inlineStr">
        <is>
          <t>909681532:eng</t>
        </is>
      </c>
      <c r="AV418" t="inlineStr">
        <is>
          <t>4114382</t>
        </is>
      </c>
      <c r="AW418" t="inlineStr">
        <is>
          <t>991004589609702656</t>
        </is>
      </c>
      <c r="AX418" t="inlineStr">
        <is>
          <t>991004589609702656</t>
        </is>
      </c>
      <c r="AY418" t="inlineStr">
        <is>
          <t>2271854060002656</t>
        </is>
      </c>
      <c r="AZ418" t="inlineStr">
        <is>
          <t>BOOK</t>
        </is>
      </c>
      <c r="BB418" t="inlineStr">
        <is>
          <t>9780470264874</t>
        </is>
      </c>
      <c r="BC418" t="inlineStr">
        <is>
          <t>32285000601293</t>
        </is>
      </c>
      <c r="BD418" t="inlineStr">
        <is>
          <t>893869892</t>
        </is>
      </c>
    </row>
    <row r="419">
      <c r="A419" t="inlineStr">
        <is>
          <t>No</t>
        </is>
      </c>
      <c r="B419" t="inlineStr">
        <is>
          <t>BF320 .A4</t>
        </is>
      </c>
      <c r="C419" t="inlineStr">
        <is>
          <t>0                      BF 0320000A  4</t>
        </is>
      </c>
      <c r="D419" t="inlineStr">
        <is>
          <t>Altered states of awareness; readings from Scientific American. With introds. by Timothy J. Teyler.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San Francisco, W. H. Freeman [1972]</t>
        </is>
      </c>
      <c r="M419" t="inlineStr">
        <is>
          <t>1972</t>
        </is>
      </c>
      <c r="O419" t="inlineStr">
        <is>
          <t>eng</t>
        </is>
      </c>
      <c r="P419" t="inlineStr">
        <is>
          <t>cau</t>
        </is>
      </c>
      <c r="R419" t="inlineStr">
        <is>
          <t xml:space="preserve">BF </t>
        </is>
      </c>
      <c r="S419" t="n">
        <v>5</v>
      </c>
      <c r="T419" t="n">
        <v>5</v>
      </c>
      <c r="U419" t="inlineStr">
        <is>
          <t>1998-10-08</t>
        </is>
      </c>
      <c r="V419" t="inlineStr">
        <is>
          <t>1998-10-08</t>
        </is>
      </c>
      <c r="W419" t="inlineStr">
        <is>
          <t>1996-07-26</t>
        </is>
      </c>
      <c r="X419" t="inlineStr">
        <is>
          <t>1996-07-26</t>
        </is>
      </c>
      <c r="Y419" t="n">
        <v>773</v>
      </c>
      <c r="Z419" t="n">
        <v>653</v>
      </c>
      <c r="AA419" t="n">
        <v>653</v>
      </c>
      <c r="AB419" t="n">
        <v>4</v>
      </c>
      <c r="AC419" t="n">
        <v>4</v>
      </c>
      <c r="AD419" t="n">
        <v>23</v>
      </c>
      <c r="AE419" t="n">
        <v>23</v>
      </c>
      <c r="AF419" t="n">
        <v>8</v>
      </c>
      <c r="AG419" t="n">
        <v>8</v>
      </c>
      <c r="AH419" t="n">
        <v>4</v>
      </c>
      <c r="AI419" t="n">
        <v>4</v>
      </c>
      <c r="AJ419" t="n">
        <v>13</v>
      </c>
      <c r="AK419" t="n">
        <v>13</v>
      </c>
      <c r="AL419" t="n">
        <v>3</v>
      </c>
      <c r="AM419" t="n">
        <v>3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HYPERLINK("https://creighton-primo.hosted.exlibrisgroup.com/primo-explore/search?tab=default_tab&amp;search_scope=EVERYTHING&amp;vid=01CRU&amp;lang=en_US&amp;offset=0&amp;query=any,contains,991002434209702656","Catalog Record")</f>
        <v/>
      </c>
      <c r="AT419">
        <f>HYPERLINK("http://www.worldcat.org/oclc/348330","WorldCat Record")</f>
        <v/>
      </c>
      <c r="AU419" t="inlineStr">
        <is>
          <t>3769599249:eng</t>
        </is>
      </c>
      <c r="AV419" t="inlineStr">
        <is>
          <t>348330</t>
        </is>
      </c>
      <c r="AW419" t="inlineStr">
        <is>
          <t>991002434209702656</t>
        </is>
      </c>
      <c r="AX419" t="inlineStr">
        <is>
          <t>991002434209702656</t>
        </is>
      </c>
      <c r="AY419" t="inlineStr">
        <is>
          <t>2271197260002656</t>
        </is>
      </c>
      <c r="AZ419" t="inlineStr">
        <is>
          <t>BOOK</t>
        </is>
      </c>
      <c r="BB419" t="inlineStr">
        <is>
          <t>9780716708568</t>
        </is>
      </c>
      <c r="BC419" t="inlineStr">
        <is>
          <t>32285002246881</t>
        </is>
      </c>
      <c r="BD419" t="inlineStr">
        <is>
          <t>893710288</t>
        </is>
      </c>
    </row>
    <row r="420">
      <c r="A420" t="inlineStr">
        <is>
          <t>No</t>
        </is>
      </c>
      <c r="B420" t="inlineStr">
        <is>
          <t>BF321 .B35 1958</t>
        </is>
      </c>
      <c r="C420" t="inlineStr">
        <is>
          <t>0                      BF 0321000B  35          1958</t>
        </is>
      </c>
      <c r="D420" t="inlineStr">
        <is>
          <t>The art of listening.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Barbara, Dominick A.</t>
        </is>
      </c>
      <c r="L420" t="inlineStr">
        <is>
          <t>Springfield, Ill. : C. C. Thomas, [1958]</t>
        </is>
      </c>
      <c r="M420" t="inlineStr">
        <is>
          <t>1958</t>
        </is>
      </c>
      <c r="O420" t="inlineStr">
        <is>
          <t>eng</t>
        </is>
      </c>
      <c r="P420" t="inlineStr">
        <is>
          <t>ilu</t>
        </is>
      </c>
      <c r="R420" t="inlineStr">
        <is>
          <t xml:space="preserve">BF </t>
        </is>
      </c>
      <c r="S420" t="n">
        <v>3</v>
      </c>
      <c r="T420" t="n">
        <v>3</v>
      </c>
      <c r="U420" t="inlineStr">
        <is>
          <t>1995-10-18</t>
        </is>
      </c>
      <c r="V420" t="inlineStr">
        <is>
          <t>1995-10-18</t>
        </is>
      </c>
      <c r="W420" t="inlineStr">
        <is>
          <t>1991-12-23</t>
        </is>
      </c>
      <c r="X420" t="inlineStr">
        <is>
          <t>1991-12-23</t>
        </is>
      </c>
      <c r="Y420" t="n">
        <v>589</v>
      </c>
      <c r="Z420" t="n">
        <v>549</v>
      </c>
      <c r="AA420" t="n">
        <v>581</v>
      </c>
      <c r="AB420" t="n">
        <v>4</v>
      </c>
      <c r="AC420" t="n">
        <v>4</v>
      </c>
      <c r="AD420" t="n">
        <v>17</v>
      </c>
      <c r="AE420" t="n">
        <v>18</v>
      </c>
      <c r="AF420" t="n">
        <v>8</v>
      </c>
      <c r="AG420" t="n">
        <v>9</v>
      </c>
      <c r="AH420" t="n">
        <v>2</v>
      </c>
      <c r="AI420" t="n">
        <v>2</v>
      </c>
      <c r="AJ420" t="n">
        <v>9</v>
      </c>
      <c r="AK420" t="n">
        <v>10</v>
      </c>
      <c r="AL420" t="n">
        <v>3</v>
      </c>
      <c r="AM420" t="n">
        <v>3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HYPERLINK("https://creighton-primo.hosted.exlibrisgroup.com/primo-explore/search?tab=default_tab&amp;search_scope=EVERYTHING&amp;vid=01CRU&amp;lang=en_US&amp;offset=0&amp;query=any,contains,991001231289702656","Catalog Record")</f>
        <v/>
      </c>
      <c r="AT420">
        <f>HYPERLINK("http://www.worldcat.org/oclc/203682","WorldCat Record")</f>
        <v/>
      </c>
      <c r="AU420" t="inlineStr">
        <is>
          <t>1260486:eng</t>
        </is>
      </c>
      <c r="AV420" t="inlineStr">
        <is>
          <t>203682</t>
        </is>
      </c>
      <c r="AW420" t="inlineStr">
        <is>
          <t>991001231289702656</t>
        </is>
      </c>
      <c r="AX420" t="inlineStr">
        <is>
          <t>991001231289702656</t>
        </is>
      </c>
      <c r="AY420" t="inlineStr">
        <is>
          <t>2256007600002656</t>
        </is>
      </c>
      <c r="AZ420" t="inlineStr">
        <is>
          <t>BOOK</t>
        </is>
      </c>
      <c r="BC420" t="inlineStr">
        <is>
          <t>32285000880368</t>
        </is>
      </c>
      <c r="BD420" t="inlineStr">
        <is>
          <t>893709109</t>
        </is>
      </c>
    </row>
    <row r="421">
      <c r="A421" t="inlineStr">
        <is>
          <t>No</t>
        </is>
      </c>
      <c r="B421" t="inlineStr">
        <is>
          <t>BF321 .N5</t>
        </is>
      </c>
      <c r="C421" t="inlineStr">
        <is>
          <t>0                      BF 0321000N  5</t>
        </is>
      </c>
      <c r="D421" t="inlineStr">
        <is>
          <t>Are you listening? / [by] Ralph G. Nichols [and] Leonard A. Stevens.</t>
        </is>
      </c>
      <c r="F421" t="inlineStr">
        <is>
          <t>No</t>
        </is>
      </c>
      <c r="G421" t="inlineStr">
        <is>
          <t>1</t>
        </is>
      </c>
      <c r="H421" t="inlineStr">
        <is>
          <t>Yes</t>
        </is>
      </c>
      <c r="I421" t="inlineStr">
        <is>
          <t>No</t>
        </is>
      </c>
      <c r="J421" t="inlineStr">
        <is>
          <t>0</t>
        </is>
      </c>
      <c r="K421" t="inlineStr">
        <is>
          <t>Nichols, Ralph G.</t>
        </is>
      </c>
      <c r="L421" t="inlineStr">
        <is>
          <t>New York : McGraw-Hill, [1957]</t>
        </is>
      </c>
      <c r="M421" t="inlineStr">
        <is>
          <t>1957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BF </t>
        </is>
      </c>
      <c r="S421" t="n">
        <v>8</v>
      </c>
      <c r="T421" t="n">
        <v>12</v>
      </c>
      <c r="U421" t="inlineStr">
        <is>
          <t>2001-03-02</t>
        </is>
      </c>
      <c r="V421" t="inlineStr">
        <is>
          <t>2001-03-02</t>
        </is>
      </c>
      <c r="W421" t="inlineStr">
        <is>
          <t>1991-12-23</t>
        </is>
      </c>
      <c r="X421" t="inlineStr">
        <is>
          <t>1991-12-23</t>
        </is>
      </c>
      <c r="Y421" t="n">
        <v>869</v>
      </c>
      <c r="Z421" t="n">
        <v>779</v>
      </c>
      <c r="AA421" t="n">
        <v>787</v>
      </c>
      <c r="AB421" t="n">
        <v>10</v>
      </c>
      <c r="AC421" t="n">
        <v>10</v>
      </c>
      <c r="AD421" t="n">
        <v>32</v>
      </c>
      <c r="AE421" t="n">
        <v>32</v>
      </c>
      <c r="AF421" t="n">
        <v>12</v>
      </c>
      <c r="AG421" t="n">
        <v>12</v>
      </c>
      <c r="AH421" t="n">
        <v>4</v>
      </c>
      <c r="AI421" t="n">
        <v>4</v>
      </c>
      <c r="AJ421" t="n">
        <v>14</v>
      </c>
      <c r="AK421" t="n">
        <v>14</v>
      </c>
      <c r="AL421" t="n">
        <v>7</v>
      </c>
      <c r="AM421" t="n">
        <v>7</v>
      </c>
      <c r="AN421" t="n">
        <v>0</v>
      </c>
      <c r="AO421" t="n">
        <v>0</v>
      </c>
      <c r="AP421" t="inlineStr">
        <is>
          <t>No</t>
        </is>
      </c>
      <c r="AQ421" t="inlineStr">
        <is>
          <t>Yes</t>
        </is>
      </c>
      <c r="AR421">
        <f>HYPERLINK("http://catalog.hathitrust.org/Record/000355014","HathiTrust Record")</f>
        <v/>
      </c>
      <c r="AS421">
        <f>HYPERLINK("https://creighton-primo.hosted.exlibrisgroup.com/primo-explore/search?tab=default_tab&amp;search_scope=EVERYTHING&amp;vid=01CRU&amp;lang=en_US&amp;offset=0&amp;query=any,contains,991001762039702656","Catalog Record")</f>
        <v/>
      </c>
      <c r="AT421">
        <f>HYPERLINK("http://www.worldcat.org/oclc/224491","WorldCat Record")</f>
        <v/>
      </c>
      <c r="AU421" t="inlineStr">
        <is>
          <t>1334058:eng</t>
        </is>
      </c>
      <c r="AV421" t="inlineStr">
        <is>
          <t>224491</t>
        </is>
      </c>
      <c r="AW421" t="inlineStr">
        <is>
          <t>991001762039702656</t>
        </is>
      </c>
      <c r="AX421" t="inlineStr">
        <is>
          <t>991001762039702656</t>
        </is>
      </c>
      <c r="AY421" t="inlineStr">
        <is>
          <t>2264199100002656</t>
        </is>
      </c>
      <c r="AZ421" t="inlineStr">
        <is>
          <t>BOOK</t>
        </is>
      </c>
      <c r="BC421" t="inlineStr">
        <is>
          <t>32285000880350</t>
        </is>
      </c>
      <c r="BD421" t="inlineStr">
        <is>
          <t>893238318</t>
        </is>
      </c>
    </row>
    <row r="422">
      <c r="A422" t="inlineStr">
        <is>
          <t>No</t>
        </is>
      </c>
      <c r="B422" t="inlineStr">
        <is>
          <t>BF323.C5 C63</t>
        </is>
      </c>
      <c r="C422" t="inlineStr">
        <is>
          <t>0                      BF 0323000C  5                  C  63</t>
        </is>
      </c>
      <c r="D422" t="inlineStr">
        <is>
          <t>Cognitive responses in persuasion / edited by Richard E. Petty, Thomas M. Ostrom, Timothy C. Brock.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L422" t="inlineStr">
        <is>
          <t>Hillsdale, N.J. : L. Erlbaum Associates, 1981.</t>
        </is>
      </c>
      <c r="M422" t="inlineStr">
        <is>
          <t>1981</t>
        </is>
      </c>
      <c r="O422" t="inlineStr">
        <is>
          <t>eng</t>
        </is>
      </c>
      <c r="P422" t="inlineStr">
        <is>
          <t>nju</t>
        </is>
      </c>
      <c r="R422" t="inlineStr">
        <is>
          <t xml:space="preserve">BF </t>
        </is>
      </c>
      <c r="S422" t="n">
        <v>4</v>
      </c>
      <c r="T422" t="n">
        <v>4</v>
      </c>
      <c r="U422" t="inlineStr">
        <is>
          <t>2000-04-20</t>
        </is>
      </c>
      <c r="V422" t="inlineStr">
        <is>
          <t>2000-04-20</t>
        </is>
      </c>
      <c r="W422" t="inlineStr">
        <is>
          <t>1991-12-06</t>
        </is>
      </c>
      <c r="X422" t="inlineStr">
        <is>
          <t>1991-12-06</t>
        </is>
      </c>
      <c r="Y422" t="n">
        <v>436</v>
      </c>
      <c r="Z422" t="n">
        <v>343</v>
      </c>
      <c r="AA422" t="n">
        <v>372</v>
      </c>
      <c r="AB422" t="n">
        <v>2</v>
      </c>
      <c r="AC422" t="n">
        <v>2</v>
      </c>
      <c r="AD422" t="n">
        <v>20</v>
      </c>
      <c r="AE422" t="n">
        <v>20</v>
      </c>
      <c r="AF422" t="n">
        <v>7</v>
      </c>
      <c r="AG422" t="n">
        <v>7</v>
      </c>
      <c r="AH422" t="n">
        <v>5</v>
      </c>
      <c r="AI422" t="n">
        <v>5</v>
      </c>
      <c r="AJ422" t="n">
        <v>14</v>
      </c>
      <c r="AK422" t="n">
        <v>14</v>
      </c>
      <c r="AL422" t="n">
        <v>1</v>
      </c>
      <c r="AM422" t="n">
        <v>1</v>
      </c>
      <c r="AN422" t="n">
        <v>1</v>
      </c>
      <c r="AO422" t="n">
        <v>1</v>
      </c>
      <c r="AP422" t="inlineStr">
        <is>
          <t>No</t>
        </is>
      </c>
      <c r="AQ422" t="inlineStr">
        <is>
          <t>Yes</t>
        </is>
      </c>
      <c r="AR422">
        <f>HYPERLINK("http://catalog.hathitrust.org/Record/000127912","HathiTrust Record")</f>
        <v/>
      </c>
      <c r="AS422">
        <f>HYPERLINK("https://creighton-primo.hosted.exlibrisgroup.com/primo-explore/search?tab=default_tab&amp;search_scope=EVERYTHING&amp;vid=01CRU&amp;lang=en_US&amp;offset=0&amp;query=any,contains,991005386019702656","Catalog Record")</f>
        <v/>
      </c>
      <c r="AT422">
        <f>HYPERLINK("http://www.worldcat.org/oclc/6917697","WorldCat Record")</f>
        <v/>
      </c>
      <c r="AU422" t="inlineStr">
        <is>
          <t>350328294:eng</t>
        </is>
      </c>
      <c r="AV422" t="inlineStr">
        <is>
          <t>6917697</t>
        </is>
      </c>
      <c r="AW422" t="inlineStr">
        <is>
          <t>991005386019702656</t>
        </is>
      </c>
      <c r="AX422" t="inlineStr">
        <is>
          <t>991005386019702656</t>
        </is>
      </c>
      <c r="AY422" t="inlineStr">
        <is>
          <t>2264700540002656</t>
        </is>
      </c>
      <c r="AZ422" t="inlineStr">
        <is>
          <t>BOOK</t>
        </is>
      </c>
      <c r="BB422" t="inlineStr">
        <is>
          <t>9780898590258</t>
        </is>
      </c>
      <c r="BC422" t="inlineStr">
        <is>
          <t>32285000838275</t>
        </is>
      </c>
      <c r="BD422" t="inlineStr">
        <is>
          <t>893783597</t>
        </is>
      </c>
    </row>
    <row r="423">
      <c r="A423" t="inlineStr">
        <is>
          <t>No</t>
        </is>
      </c>
      <c r="B423" t="inlineStr">
        <is>
          <t>BF323.C5 F5</t>
        </is>
      </c>
      <c r="C423" t="inlineStr">
        <is>
          <t>0                      BF 0323000C  5                  F  5</t>
        </is>
      </c>
      <c r="D423" t="inlineStr">
        <is>
          <t>Readings in attitude theory and measurement.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Fishbein, Martin compiler.</t>
        </is>
      </c>
      <c r="L423" t="inlineStr">
        <is>
          <t>New York : Wiley, [1967]</t>
        </is>
      </c>
      <c r="M423" t="inlineStr">
        <is>
          <t>1967</t>
        </is>
      </c>
      <c r="O423" t="inlineStr">
        <is>
          <t>eng</t>
        </is>
      </c>
      <c r="P423" t="inlineStr">
        <is>
          <t>nyu</t>
        </is>
      </c>
      <c r="R423" t="inlineStr">
        <is>
          <t xml:space="preserve">BF </t>
        </is>
      </c>
      <c r="S423" t="n">
        <v>8</v>
      </c>
      <c r="T423" t="n">
        <v>8</v>
      </c>
      <c r="U423" t="inlineStr">
        <is>
          <t>2003-04-11</t>
        </is>
      </c>
      <c r="V423" t="inlineStr">
        <is>
          <t>2003-04-11</t>
        </is>
      </c>
      <c r="W423" t="inlineStr">
        <is>
          <t>1994-11-28</t>
        </is>
      </c>
      <c r="X423" t="inlineStr">
        <is>
          <t>1994-11-28</t>
        </is>
      </c>
      <c r="Y423" t="n">
        <v>871</v>
      </c>
      <c r="Z423" t="n">
        <v>647</v>
      </c>
      <c r="AA423" t="n">
        <v>657</v>
      </c>
      <c r="AB423" t="n">
        <v>3</v>
      </c>
      <c r="AC423" t="n">
        <v>3</v>
      </c>
      <c r="AD423" t="n">
        <v>27</v>
      </c>
      <c r="AE423" t="n">
        <v>27</v>
      </c>
      <c r="AF423" t="n">
        <v>12</v>
      </c>
      <c r="AG423" t="n">
        <v>12</v>
      </c>
      <c r="AH423" t="n">
        <v>7</v>
      </c>
      <c r="AI423" t="n">
        <v>7</v>
      </c>
      <c r="AJ423" t="n">
        <v>16</v>
      </c>
      <c r="AK423" t="n">
        <v>16</v>
      </c>
      <c r="AL423" t="n">
        <v>2</v>
      </c>
      <c r="AM423" t="n">
        <v>2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HYPERLINK("http://catalog.hathitrust.org/Record/000355058","HathiTrust Record")</f>
        <v/>
      </c>
      <c r="AS423">
        <f>HYPERLINK("https://creighton-primo.hosted.exlibrisgroup.com/primo-explore/search?tab=default_tab&amp;search_scope=EVERYTHING&amp;vid=01CRU&amp;lang=en_US&amp;offset=0&amp;query=any,contains,991001215309702656","Catalog Record")</f>
        <v/>
      </c>
      <c r="AT423">
        <f>HYPERLINK("http://www.worldcat.org/oclc/193771","WorldCat Record")</f>
        <v/>
      </c>
      <c r="AU423" t="inlineStr">
        <is>
          <t>148916:eng</t>
        </is>
      </c>
      <c r="AV423" t="inlineStr">
        <is>
          <t>193771</t>
        </is>
      </c>
      <c r="AW423" t="inlineStr">
        <is>
          <t>991001215309702656</t>
        </is>
      </c>
      <c r="AX423" t="inlineStr">
        <is>
          <t>991001215309702656</t>
        </is>
      </c>
      <c r="AY423" t="inlineStr">
        <is>
          <t>2268803010002656</t>
        </is>
      </c>
      <c r="AZ423" t="inlineStr">
        <is>
          <t>BOOK</t>
        </is>
      </c>
      <c r="BC423" t="inlineStr">
        <is>
          <t>32285001968428</t>
        </is>
      </c>
      <c r="BD423" t="inlineStr">
        <is>
          <t>893250061</t>
        </is>
      </c>
    </row>
    <row r="424">
      <c r="A424" t="inlineStr">
        <is>
          <t>No</t>
        </is>
      </c>
      <c r="B424" t="inlineStr">
        <is>
          <t>BF323.C5 G7 1968</t>
        </is>
      </c>
      <c r="C424" t="inlineStr">
        <is>
          <t>0                      BF 0323000C  5                  G  7           1968</t>
        </is>
      </c>
      <c r="D424" t="inlineStr">
        <is>
          <t>Psychological foundations of attitudes, edited by Anthony G. Greenwald, Timothy C. Brock [and] Thomas M. Ostrom.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Greenwald, Anthony G.</t>
        </is>
      </c>
      <c r="L424" t="inlineStr">
        <is>
          <t>New York, Academic Press, 1968.</t>
        </is>
      </c>
      <c r="M424" t="inlineStr">
        <is>
          <t>1968</t>
        </is>
      </c>
      <c r="O424" t="inlineStr">
        <is>
          <t>eng</t>
        </is>
      </c>
      <c r="P424" t="inlineStr">
        <is>
          <t>nyu</t>
        </is>
      </c>
      <c r="Q424" t="inlineStr">
        <is>
          <t>Social psychology</t>
        </is>
      </c>
      <c r="R424" t="inlineStr">
        <is>
          <t xml:space="preserve">BF </t>
        </is>
      </c>
      <c r="S424" t="n">
        <v>2</v>
      </c>
      <c r="T424" t="n">
        <v>2</v>
      </c>
      <c r="U424" t="inlineStr">
        <is>
          <t>1998-02-25</t>
        </is>
      </c>
      <c r="V424" t="inlineStr">
        <is>
          <t>1998-02-25</t>
        </is>
      </c>
      <c r="W424" t="inlineStr">
        <is>
          <t>1996-07-26</t>
        </is>
      </c>
      <c r="X424" t="inlineStr">
        <is>
          <t>1996-07-26</t>
        </is>
      </c>
      <c r="Y424" t="n">
        <v>705</v>
      </c>
      <c r="Z424" t="n">
        <v>536</v>
      </c>
      <c r="AA424" t="n">
        <v>572</v>
      </c>
      <c r="AB424" t="n">
        <v>2</v>
      </c>
      <c r="AC424" t="n">
        <v>2</v>
      </c>
      <c r="AD424" t="n">
        <v>32</v>
      </c>
      <c r="AE424" t="n">
        <v>33</v>
      </c>
      <c r="AF424" t="n">
        <v>13</v>
      </c>
      <c r="AG424" t="n">
        <v>14</v>
      </c>
      <c r="AH424" t="n">
        <v>8</v>
      </c>
      <c r="AI424" t="n">
        <v>8</v>
      </c>
      <c r="AJ424" t="n">
        <v>19</v>
      </c>
      <c r="AK424" t="n">
        <v>19</v>
      </c>
      <c r="AL424" t="n">
        <v>1</v>
      </c>
      <c r="AM424" t="n">
        <v>1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HYPERLINK("http://catalog.hathitrust.org/Record/000384039","HathiTrust Record")</f>
        <v/>
      </c>
      <c r="AS424">
        <f>HYPERLINK("https://creighton-primo.hosted.exlibrisgroup.com/primo-explore/search?tab=default_tab&amp;search_scope=EVERYTHING&amp;vid=01CRU&amp;lang=en_US&amp;offset=0&amp;query=any,contains,991000941499702656","Catalog Record")</f>
        <v/>
      </c>
      <c r="AT424">
        <f>HYPERLINK("http://www.worldcat.org/oclc/166263","WorldCat Record")</f>
        <v/>
      </c>
      <c r="AU424" t="inlineStr">
        <is>
          <t>7425597:eng</t>
        </is>
      </c>
      <c r="AV424" t="inlineStr">
        <is>
          <t>166263</t>
        </is>
      </c>
      <c r="AW424" t="inlineStr">
        <is>
          <t>991000941499702656</t>
        </is>
      </c>
      <c r="AX424" t="inlineStr">
        <is>
          <t>991000941499702656</t>
        </is>
      </c>
      <c r="AY424" t="inlineStr">
        <is>
          <t>2271319000002656</t>
        </is>
      </c>
      <c r="AZ424" t="inlineStr">
        <is>
          <t>BOOK</t>
        </is>
      </c>
      <c r="BC424" t="inlineStr">
        <is>
          <t>32285002247012</t>
        </is>
      </c>
      <c r="BD424" t="inlineStr">
        <is>
          <t>893784665</t>
        </is>
      </c>
    </row>
    <row r="425">
      <c r="A425" t="inlineStr">
        <is>
          <t>No</t>
        </is>
      </c>
      <c r="B425" t="inlineStr">
        <is>
          <t>BF323.C5 H3 1976</t>
        </is>
      </c>
      <c r="C425" t="inlineStr">
        <is>
          <t>0                      BF 0323000C  5                  H  3           1976</t>
        </is>
      </c>
      <c r="D425" t="inlineStr">
        <is>
          <t>Attitude formation and change / by J. D. Halloran.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Halloran, James D. (James Dermot)</t>
        </is>
      </c>
      <c r="L425" t="inlineStr">
        <is>
          <t>Westport, Conn. : Greenwood Press, 1976, c1967.</t>
        </is>
      </c>
      <c r="M425" t="inlineStr">
        <is>
          <t>1976</t>
        </is>
      </c>
      <c r="O425" t="inlineStr">
        <is>
          <t>eng</t>
        </is>
      </c>
      <c r="P425" t="inlineStr">
        <is>
          <t>ctu</t>
        </is>
      </c>
      <c r="R425" t="inlineStr">
        <is>
          <t xml:space="preserve">BF </t>
        </is>
      </c>
      <c r="S425" t="n">
        <v>2</v>
      </c>
      <c r="T425" t="n">
        <v>2</v>
      </c>
      <c r="U425" t="inlineStr">
        <is>
          <t>1998-02-25</t>
        </is>
      </c>
      <c r="V425" t="inlineStr">
        <is>
          <t>1998-02-25</t>
        </is>
      </c>
      <c r="W425" t="inlineStr">
        <is>
          <t>1996-07-26</t>
        </is>
      </c>
      <c r="X425" t="inlineStr">
        <is>
          <t>1996-07-26</t>
        </is>
      </c>
      <c r="Y425" t="n">
        <v>128</v>
      </c>
      <c r="Z425" t="n">
        <v>113</v>
      </c>
      <c r="AA425" t="n">
        <v>319</v>
      </c>
      <c r="AB425" t="n">
        <v>1</v>
      </c>
      <c r="AC425" t="n">
        <v>3</v>
      </c>
      <c r="AD425" t="n">
        <v>3</v>
      </c>
      <c r="AE425" t="n">
        <v>13</v>
      </c>
      <c r="AF425" t="n">
        <v>2</v>
      </c>
      <c r="AG425" t="n">
        <v>3</v>
      </c>
      <c r="AH425" t="n">
        <v>1</v>
      </c>
      <c r="AI425" t="n">
        <v>3</v>
      </c>
      <c r="AJ425" t="n">
        <v>2</v>
      </c>
      <c r="AK425" t="n">
        <v>9</v>
      </c>
      <c r="AL425" t="n">
        <v>0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Yes</t>
        </is>
      </c>
      <c r="AR425">
        <f>HYPERLINK("http://catalog.hathitrust.org/Record/102018347","HathiTrust Record")</f>
        <v/>
      </c>
      <c r="AS425">
        <f>HYPERLINK("https://creighton-primo.hosted.exlibrisgroup.com/primo-explore/search?tab=default_tab&amp;search_scope=EVERYTHING&amp;vid=01CRU&amp;lang=en_US&amp;offset=0&amp;query=any,contains,991004029689702656","Catalog Record")</f>
        <v/>
      </c>
      <c r="AT425">
        <f>HYPERLINK("http://www.worldcat.org/oclc/2149905","WorldCat Record")</f>
        <v/>
      </c>
      <c r="AU425" t="inlineStr">
        <is>
          <t>501643:eng</t>
        </is>
      </c>
      <c r="AV425" t="inlineStr">
        <is>
          <t>2149905</t>
        </is>
      </c>
      <c r="AW425" t="inlineStr">
        <is>
          <t>991004029689702656</t>
        </is>
      </c>
      <c r="AX425" t="inlineStr">
        <is>
          <t>991004029689702656</t>
        </is>
      </c>
      <c r="AY425" t="inlineStr">
        <is>
          <t>2271803630002656</t>
        </is>
      </c>
      <c r="AZ425" t="inlineStr">
        <is>
          <t>BOOK</t>
        </is>
      </c>
      <c r="BB425" t="inlineStr">
        <is>
          <t>9780837187006</t>
        </is>
      </c>
      <c r="BC425" t="inlineStr">
        <is>
          <t>32285002247020</t>
        </is>
      </c>
      <c r="BD425" t="inlineStr">
        <is>
          <t>893605548</t>
        </is>
      </c>
    </row>
    <row r="426">
      <c r="A426" t="inlineStr">
        <is>
          <t>No</t>
        </is>
      </c>
      <c r="B426" t="inlineStr">
        <is>
          <t>BF323.C5 I5</t>
        </is>
      </c>
      <c r="C426" t="inlineStr">
        <is>
          <t>0                      BF 0323000C  5                  I  5</t>
        </is>
      </c>
      <c r="D426" t="inlineStr">
        <is>
          <t>Theories of attitude change / [by] Chester A. Insko.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Insko, Chester A.</t>
        </is>
      </c>
      <c r="L426" t="inlineStr">
        <is>
          <t>New York : Appleton-Century-Crofts, [1967]</t>
        </is>
      </c>
      <c r="M426" t="inlineStr">
        <is>
          <t>1967</t>
        </is>
      </c>
      <c r="O426" t="inlineStr">
        <is>
          <t>eng</t>
        </is>
      </c>
      <c r="P426" t="inlineStr">
        <is>
          <t>nyu</t>
        </is>
      </c>
      <c r="Q426" t="inlineStr">
        <is>
          <t>The Century psychology series</t>
        </is>
      </c>
      <c r="R426" t="inlineStr">
        <is>
          <t xml:space="preserve">BF </t>
        </is>
      </c>
      <c r="S426" t="n">
        <v>2</v>
      </c>
      <c r="T426" t="n">
        <v>2</v>
      </c>
      <c r="U426" t="inlineStr">
        <is>
          <t>2003-04-11</t>
        </is>
      </c>
      <c r="V426" t="inlineStr">
        <is>
          <t>2003-04-11</t>
        </is>
      </c>
      <c r="W426" t="inlineStr">
        <is>
          <t>1990-09-21</t>
        </is>
      </c>
      <c r="X426" t="inlineStr">
        <is>
          <t>1990-09-21</t>
        </is>
      </c>
      <c r="Y426" t="n">
        <v>736</v>
      </c>
      <c r="Z426" t="n">
        <v>562</v>
      </c>
      <c r="AA426" t="n">
        <v>595</v>
      </c>
      <c r="AB426" t="n">
        <v>5</v>
      </c>
      <c r="AC426" t="n">
        <v>5</v>
      </c>
      <c r="AD426" t="n">
        <v>24</v>
      </c>
      <c r="AE426" t="n">
        <v>25</v>
      </c>
      <c r="AF426" t="n">
        <v>10</v>
      </c>
      <c r="AG426" t="n">
        <v>11</v>
      </c>
      <c r="AH426" t="n">
        <v>7</v>
      </c>
      <c r="AI426" t="n">
        <v>7</v>
      </c>
      <c r="AJ426" t="n">
        <v>12</v>
      </c>
      <c r="AK426" t="n">
        <v>12</v>
      </c>
      <c r="AL426" t="n">
        <v>4</v>
      </c>
      <c r="AM426" t="n">
        <v>4</v>
      </c>
      <c r="AN426" t="n">
        <v>0</v>
      </c>
      <c r="AO426" t="n">
        <v>0</v>
      </c>
      <c r="AP426" t="inlineStr">
        <is>
          <t>No</t>
        </is>
      </c>
      <c r="AQ426" t="inlineStr">
        <is>
          <t>Yes</t>
        </is>
      </c>
      <c r="AR426">
        <f>HYPERLINK("http://catalog.hathitrust.org/Record/000355213","HathiTrust Record")</f>
        <v/>
      </c>
      <c r="AS426">
        <f>HYPERLINK("https://creighton-primo.hosted.exlibrisgroup.com/primo-explore/search?tab=default_tab&amp;search_scope=EVERYTHING&amp;vid=01CRU&amp;lang=en_US&amp;offset=0&amp;query=any,contains,991001216289702656","Catalog Record")</f>
        <v/>
      </c>
      <c r="AT426">
        <f>HYPERLINK("http://www.worldcat.org/oclc/194210","WorldCat Record")</f>
        <v/>
      </c>
      <c r="AU426" t="inlineStr">
        <is>
          <t>1358985:eng</t>
        </is>
      </c>
      <c r="AV426" t="inlineStr">
        <is>
          <t>194210</t>
        </is>
      </c>
      <c r="AW426" t="inlineStr">
        <is>
          <t>991001216289702656</t>
        </is>
      </c>
      <c r="AX426" t="inlineStr">
        <is>
          <t>991001216289702656</t>
        </is>
      </c>
      <c r="AY426" t="inlineStr">
        <is>
          <t>2269385990002656</t>
        </is>
      </c>
      <c r="AZ426" t="inlineStr">
        <is>
          <t>BOOK</t>
        </is>
      </c>
      <c r="BC426" t="inlineStr">
        <is>
          <t>32285000307834</t>
        </is>
      </c>
      <c r="BD426" t="inlineStr">
        <is>
          <t>893621163</t>
        </is>
      </c>
    </row>
    <row r="427">
      <c r="A427" t="inlineStr">
        <is>
          <t>No</t>
        </is>
      </c>
      <c r="B427" t="inlineStr">
        <is>
          <t>BF323.C5 K5</t>
        </is>
      </c>
      <c r="C427" t="inlineStr">
        <is>
          <t>0                      BF 0323000C  5                  K  5</t>
        </is>
      </c>
      <c r="D427" t="inlineStr">
        <is>
          <t>Attitude change : a critical analysis of theoretical approaches / [by] Charles A. Kiesler, Barry E. Collins [and] Norman Miller.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Kiesler, Charles A., 1934-2002.</t>
        </is>
      </c>
      <c r="L427" t="inlineStr">
        <is>
          <t>New York : Wiley, [1969]</t>
        </is>
      </c>
      <c r="M427" t="inlineStr">
        <is>
          <t>1969</t>
        </is>
      </c>
      <c r="O427" t="inlineStr">
        <is>
          <t>eng</t>
        </is>
      </c>
      <c r="P427" t="inlineStr">
        <is>
          <t>nyu</t>
        </is>
      </c>
      <c r="Q427" t="inlineStr">
        <is>
          <t>Series in psychology</t>
        </is>
      </c>
      <c r="R427" t="inlineStr">
        <is>
          <t xml:space="preserve">BF </t>
        </is>
      </c>
      <c r="S427" t="n">
        <v>5</v>
      </c>
      <c r="T427" t="n">
        <v>5</v>
      </c>
      <c r="U427" t="inlineStr">
        <is>
          <t>2005-04-04</t>
        </is>
      </c>
      <c r="V427" t="inlineStr">
        <is>
          <t>2005-04-04</t>
        </is>
      </c>
      <c r="W427" t="inlineStr">
        <is>
          <t>1991-12-11</t>
        </is>
      </c>
      <c r="X427" t="inlineStr">
        <is>
          <t>1991-12-11</t>
        </is>
      </c>
      <c r="Y427" t="n">
        <v>897</v>
      </c>
      <c r="Z427" t="n">
        <v>696</v>
      </c>
      <c r="AA427" t="n">
        <v>741</v>
      </c>
      <c r="AB427" t="n">
        <v>5</v>
      </c>
      <c r="AC427" t="n">
        <v>5</v>
      </c>
      <c r="AD427" t="n">
        <v>32</v>
      </c>
      <c r="AE427" t="n">
        <v>36</v>
      </c>
      <c r="AF427" t="n">
        <v>12</v>
      </c>
      <c r="AG427" t="n">
        <v>15</v>
      </c>
      <c r="AH427" t="n">
        <v>7</v>
      </c>
      <c r="AI427" t="n">
        <v>7</v>
      </c>
      <c r="AJ427" t="n">
        <v>16</v>
      </c>
      <c r="AK427" t="n">
        <v>18</v>
      </c>
      <c r="AL427" t="n">
        <v>4</v>
      </c>
      <c r="AM427" t="n">
        <v>4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HYPERLINK("https://creighton-primo.hosted.exlibrisgroup.com/primo-explore/search?tab=default_tab&amp;search_scope=EVERYTHING&amp;vid=01CRU&amp;lang=en_US&amp;offset=0&amp;query=any,contains,991005434809702656","Catalog Record")</f>
        <v/>
      </c>
      <c r="AT427">
        <f>HYPERLINK("http://www.worldcat.org/oclc/2593","WorldCat Record")</f>
        <v/>
      </c>
      <c r="AU427" t="inlineStr">
        <is>
          <t>1125815:eng</t>
        </is>
      </c>
      <c r="AV427" t="inlineStr">
        <is>
          <t>2593</t>
        </is>
      </c>
      <c r="AW427" t="inlineStr">
        <is>
          <t>991005434809702656</t>
        </is>
      </c>
      <c r="AX427" t="inlineStr">
        <is>
          <t>991005434809702656</t>
        </is>
      </c>
      <c r="AY427" t="inlineStr">
        <is>
          <t>2262638730002656</t>
        </is>
      </c>
      <c r="AZ427" t="inlineStr">
        <is>
          <t>BOOK</t>
        </is>
      </c>
      <c r="BC427" t="inlineStr">
        <is>
          <t>32285000876051</t>
        </is>
      </c>
      <c r="BD427" t="inlineStr">
        <is>
          <t>893620004</t>
        </is>
      </c>
    </row>
    <row r="428">
      <c r="A428" t="inlineStr">
        <is>
          <t>No</t>
        </is>
      </c>
      <c r="B428" t="inlineStr">
        <is>
          <t>BF323.C5 S5</t>
        </is>
      </c>
      <c r="C428" t="inlineStr">
        <is>
          <t>0                      BF 0323000C  5                  S  5</t>
        </is>
      </c>
      <c r="D428" t="inlineStr">
        <is>
          <t>Attitude and attitude change; the social judgment-involvement approach [by] Carolyn W. Sherif, Muzafer Sherif and Roger E. Nebergall.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Sherif, Carolyn W.</t>
        </is>
      </c>
      <c r="L428" t="inlineStr">
        <is>
          <t>Philadelphia, Saunders, 1965.</t>
        </is>
      </c>
      <c r="M428" t="inlineStr">
        <is>
          <t>1965</t>
        </is>
      </c>
      <c r="O428" t="inlineStr">
        <is>
          <t>eng</t>
        </is>
      </c>
      <c r="P428" t="inlineStr">
        <is>
          <t>pau</t>
        </is>
      </c>
      <c r="R428" t="inlineStr">
        <is>
          <t xml:space="preserve">BF </t>
        </is>
      </c>
      <c r="S428" t="n">
        <v>7</v>
      </c>
      <c r="T428" t="n">
        <v>7</v>
      </c>
      <c r="U428" t="inlineStr">
        <is>
          <t>2005-09-20</t>
        </is>
      </c>
      <c r="V428" t="inlineStr">
        <is>
          <t>2005-09-20</t>
        </is>
      </c>
      <c r="W428" t="inlineStr">
        <is>
          <t>1996-07-26</t>
        </is>
      </c>
      <c r="X428" t="inlineStr">
        <is>
          <t>1996-07-26</t>
        </is>
      </c>
      <c r="Y428" t="n">
        <v>600</v>
      </c>
      <c r="Z428" t="n">
        <v>488</v>
      </c>
      <c r="AA428" t="n">
        <v>558</v>
      </c>
      <c r="AB428" t="n">
        <v>3</v>
      </c>
      <c r="AC428" t="n">
        <v>3</v>
      </c>
      <c r="AD428" t="n">
        <v>23</v>
      </c>
      <c r="AE428" t="n">
        <v>26</v>
      </c>
      <c r="AF428" t="n">
        <v>11</v>
      </c>
      <c r="AG428" t="n">
        <v>12</v>
      </c>
      <c r="AH428" t="n">
        <v>6</v>
      </c>
      <c r="AI428" t="n">
        <v>7</v>
      </c>
      <c r="AJ428" t="n">
        <v>9</v>
      </c>
      <c r="AK428" t="n">
        <v>12</v>
      </c>
      <c r="AL428" t="n">
        <v>2</v>
      </c>
      <c r="AM428" t="n">
        <v>2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HYPERLINK("https://creighton-primo.hosted.exlibrisgroup.com/primo-explore/search?tab=default_tab&amp;search_scope=EVERYTHING&amp;vid=01CRU&amp;lang=en_US&amp;offset=0&amp;query=any,contains,991003536319702656","Catalog Record")</f>
        <v/>
      </c>
      <c r="AT428">
        <f>HYPERLINK("http://www.worldcat.org/oclc/1101352","WorldCat Record")</f>
        <v/>
      </c>
      <c r="AU428" t="inlineStr">
        <is>
          <t>1962665:eng</t>
        </is>
      </c>
      <c r="AV428" t="inlineStr">
        <is>
          <t>1101352</t>
        </is>
      </c>
      <c r="AW428" t="inlineStr">
        <is>
          <t>991003536319702656</t>
        </is>
      </c>
      <c r="AX428" t="inlineStr">
        <is>
          <t>991003536319702656</t>
        </is>
      </c>
      <c r="AY428" t="inlineStr">
        <is>
          <t>2270769650002656</t>
        </is>
      </c>
      <c r="AZ428" t="inlineStr">
        <is>
          <t>BOOK</t>
        </is>
      </c>
      <c r="BC428" t="inlineStr">
        <is>
          <t>32285002247046</t>
        </is>
      </c>
      <c r="BD428" t="inlineStr">
        <is>
          <t>893717772</t>
        </is>
      </c>
    </row>
    <row r="429">
      <c r="A429" t="inlineStr">
        <is>
          <t>No</t>
        </is>
      </c>
      <c r="B429" t="inlineStr">
        <is>
          <t>BF323.C5 S85</t>
        </is>
      </c>
      <c r="C429" t="inlineStr">
        <is>
          <t>0                      BF 0323000C  5                  S  85</t>
        </is>
      </c>
      <c r="D429" t="inlineStr">
        <is>
          <t>Attitude measurement, edited by Gene F. Summers.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Summers, Gene F., 1936-, compiler.</t>
        </is>
      </c>
      <c r="L429" t="inlineStr">
        <is>
          <t>Chicago, Rand McNally [1970]</t>
        </is>
      </c>
      <c r="M429" t="inlineStr">
        <is>
          <t>1970</t>
        </is>
      </c>
      <c r="O429" t="inlineStr">
        <is>
          <t>eng</t>
        </is>
      </c>
      <c r="P429" t="inlineStr">
        <is>
          <t>ilu</t>
        </is>
      </c>
      <c r="Q429" t="inlineStr">
        <is>
          <t>Rand McNally sociology series</t>
        </is>
      </c>
      <c r="R429" t="inlineStr">
        <is>
          <t xml:space="preserve">BF </t>
        </is>
      </c>
      <c r="S429" t="n">
        <v>3</v>
      </c>
      <c r="T429" t="n">
        <v>3</v>
      </c>
      <c r="U429" t="inlineStr">
        <is>
          <t>1997-11-03</t>
        </is>
      </c>
      <c r="V429" t="inlineStr">
        <is>
          <t>1997-11-03</t>
        </is>
      </c>
      <c r="W429" t="inlineStr">
        <is>
          <t>1996-07-26</t>
        </is>
      </c>
      <c r="X429" t="inlineStr">
        <is>
          <t>1996-07-26</t>
        </is>
      </c>
      <c r="Y429" t="n">
        <v>464</v>
      </c>
      <c r="Z429" t="n">
        <v>358</v>
      </c>
      <c r="AA429" t="n">
        <v>360</v>
      </c>
      <c r="AB429" t="n">
        <v>3</v>
      </c>
      <c r="AC429" t="n">
        <v>3</v>
      </c>
      <c r="AD429" t="n">
        <v>16</v>
      </c>
      <c r="AE429" t="n">
        <v>16</v>
      </c>
      <c r="AF429" t="n">
        <v>7</v>
      </c>
      <c r="AG429" t="n">
        <v>7</v>
      </c>
      <c r="AH429" t="n">
        <v>4</v>
      </c>
      <c r="AI429" t="n">
        <v>4</v>
      </c>
      <c r="AJ429" t="n">
        <v>8</v>
      </c>
      <c r="AK429" t="n">
        <v>8</v>
      </c>
      <c r="AL429" t="n">
        <v>2</v>
      </c>
      <c r="AM429" t="n">
        <v>2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HYPERLINK("http://catalog.hathitrust.org/Record/000355615","HathiTrust Record")</f>
        <v/>
      </c>
      <c r="AS429">
        <f>HYPERLINK("https://creighton-primo.hosted.exlibrisgroup.com/primo-explore/search?tab=default_tab&amp;search_scope=EVERYTHING&amp;vid=01CRU&amp;lang=en_US&amp;offset=0&amp;query=any,contains,991000424589702656","Catalog Record")</f>
        <v/>
      </c>
      <c r="AT429">
        <f>HYPERLINK("http://www.worldcat.org/oclc/74601","WorldCat Record")</f>
        <v/>
      </c>
      <c r="AU429" t="inlineStr">
        <is>
          <t>55128993:eng</t>
        </is>
      </c>
      <c r="AV429" t="inlineStr">
        <is>
          <t>74601</t>
        </is>
      </c>
      <c r="AW429" t="inlineStr">
        <is>
          <t>991000424589702656</t>
        </is>
      </c>
      <c r="AX429" t="inlineStr">
        <is>
          <t>991000424589702656</t>
        </is>
      </c>
      <c r="AY429" t="inlineStr">
        <is>
          <t>2272176970002656</t>
        </is>
      </c>
      <c r="AZ429" t="inlineStr">
        <is>
          <t>BOOK</t>
        </is>
      </c>
      <c r="BC429" t="inlineStr">
        <is>
          <t>32285002247053</t>
        </is>
      </c>
      <c r="BD429" t="inlineStr">
        <is>
          <t>893243230</t>
        </is>
      </c>
    </row>
    <row r="430">
      <c r="A430" t="inlineStr">
        <is>
          <t>No</t>
        </is>
      </c>
      <c r="B430" t="inlineStr">
        <is>
          <t>BF323.C5 T73</t>
        </is>
      </c>
      <c r="C430" t="inlineStr">
        <is>
          <t>0                      BF 0323000C  5                  T  73</t>
        </is>
      </c>
      <c r="D430" t="inlineStr">
        <is>
          <t>Attitude and attitude change / [by] Harry C. Triandis.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Triandis, Harry Charalambos, 1926-</t>
        </is>
      </c>
      <c r="L430" t="inlineStr">
        <is>
          <t>New York : Wiley, [1971]</t>
        </is>
      </c>
      <c r="M430" t="inlineStr">
        <is>
          <t>1971</t>
        </is>
      </c>
      <c r="O430" t="inlineStr">
        <is>
          <t>eng</t>
        </is>
      </c>
      <c r="P430" t="inlineStr">
        <is>
          <t>nyu</t>
        </is>
      </c>
      <c r="Q430" t="inlineStr">
        <is>
          <t>Wiley foundations in social psychology</t>
        </is>
      </c>
      <c r="R430" t="inlineStr">
        <is>
          <t xml:space="preserve">BF </t>
        </is>
      </c>
      <c r="S430" t="n">
        <v>6</v>
      </c>
      <c r="T430" t="n">
        <v>6</v>
      </c>
      <c r="U430" t="inlineStr">
        <is>
          <t>2003-04-11</t>
        </is>
      </c>
      <c r="V430" t="inlineStr">
        <is>
          <t>2003-04-11</t>
        </is>
      </c>
      <c r="W430" t="inlineStr">
        <is>
          <t>1991-12-10</t>
        </is>
      </c>
      <c r="X430" t="inlineStr">
        <is>
          <t>1991-12-10</t>
        </is>
      </c>
      <c r="Y430" t="n">
        <v>672</v>
      </c>
      <c r="Z430" t="n">
        <v>450</v>
      </c>
      <c r="AA430" t="n">
        <v>454</v>
      </c>
      <c r="AB430" t="n">
        <v>4</v>
      </c>
      <c r="AC430" t="n">
        <v>4</v>
      </c>
      <c r="AD430" t="n">
        <v>21</v>
      </c>
      <c r="AE430" t="n">
        <v>21</v>
      </c>
      <c r="AF430" t="n">
        <v>8</v>
      </c>
      <c r="AG430" t="n">
        <v>8</v>
      </c>
      <c r="AH430" t="n">
        <v>5</v>
      </c>
      <c r="AI430" t="n">
        <v>5</v>
      </c>
      <c r="AJ430" t="n">
        <v>12</v>
      </c>
      <c r="AK430" t="n">
        <v>12</v>
      </c>
      <c r="AL430" t="n">
        <v>3</v>
      </c>
      <c r="AM430" t="n">
        <v>3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HYPERLINK("http://catalog.hathitrust.org/Record/000355187","HathiTrust Record")</f>
        <v/>
      </c>
      <c r="AS430">
        <f>HYPERLINK("https://creighton-primo.hosted.exlibrisgroup.com/primo-explore/search?tab=default_tab&amp;search_scope=EVERYTHING&amp;vid=01CRU&amp;lang=en_US&amp;offset=0&amp;query=any,contains,991000741739702656","Catalog Record")</f>
        <v/>
      </c>
      <c r="AT430">
        <f>HYPERLINK("http://www.worldcat.org/oclc/129468","WorldCat Record")</f>
        <v/>
      </c>
      <c r="AU430" t="inlineStr">
        <is>
          <t>1261409:eng</t>
        </is>
      </c>
      <c r="AV430" t="inlineStr">
        <is>
          <t>129468</t>
        </is>
      </c>
      <c r="AW430" t="inlineStr">
        <is>
          <t>991000741739702656</t>
        </is>
      </c>
      <c r="AX430" t="inlineStr">
        <is>
          <t>991000741739702656</t>
        </is>
      </c>
      <c r="AY430" t="inlineStr">
        <is>
          <t>2266632110002656</t>
        </is>
      </c>
      <c r="AZ430" t="inlineStr">
        <is>
          <t>BOOK</t>
        </is>
      </c>
      <c r="BB430" t="inlineStr">
        <is>
          <t>9780471888307</t>
        </is>
      </c>
      <c r="BC430" t="inlineStr">
        <is>
          <t>32285000875194</t>
        </is>
      </c>
      <c r="BD430" t="inlineStr">
        <is>
          <t>893425995</t>
        </is>
      </c>
    </row>
    <row r="431">
      <c r="A431" t="inlineStr">
        <is>
          <t>No</t>
        </is>
      </c>
      <c r="B431" t="inlineStr">
        <is>
          <t>BF323.C5 Z5 1977a</t>
        </is>
      </c>
      <c r="C431" t="inlineStr">
        <is>
          <t>0                      BF 0323000C  5                  Z  5           1977a</t>
        </is>
      </c>
      <c r="D431" t="inlineStr">
        <is>
          <t>Influencing attitudes and changing behavior : an introduction to method, theory, and applications of social control and personal power / Philip G. Zimbardo, Ebbe B. Ebbesen, Christina Maslach.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Zimbardo, Philip G.</t>
        </is>
      </c>
      <c r="L431" t="inlineStr">
        <is>
          <t>New York : Random House, c1977.</t>
        </is>
      </c>
      <c r="M431" t="inlineStr">
        <is>
          <t>1977</t>
        </is>
      </c>
      <c r="N431" t="inlineStr">
        <is>
          <t>2nd ed.</t>
        </is>
      </c>
      <c r="O431" t="inlineStr">
        <is>
          <t>eng</t>
        </is>
      </c>
      <c r="P431" t="inlineStr">
        <is>
          <t>nyu</t>
        </is>
      </c>
      <c r="Q431" t="inlineStr">
        <is>
          <t>Topics in social psychology</t>
        </is>
      </c>
      <c r="R431" t="inlineStr">
        <is>
          <t xml:space="preserve">BF </t>
        </is>
      </c>
      <c r="S431" t="n">
        <v>14</v>
      </c>
      <c r="T431" t="n">
        <v>14</v>
      </c>
      <c r="U431" t="inlineStr">
        <is>
          <t>2002-03-27</t>
        </is>
      </c>
      <c r="V431" t="inlineStr">
        <is>
          <t>2002-03-27</t>
        </is>
      </c>
      <c r="W431" t="inlineStr">
        <is>
          <t>1992-08-13</t>
        </is>
      </c>
      <c r="X431" t="inlineStr">
        <is>
          <t>1992-08-13</t>
        </is>
      </c>
      <c r="Y431" t="n">
        <v>57</v>
      </c>
      <c r="Z431" t="n">
        <v>44</v>
      </c>
      <c r="AA431" t="n">
        <v>449</v>
      </c>
      <c r="AB431" t="n">
        <v>1</v>
      </c>
      <c r="AC431" t="n">
        <v>3</v>
      </c>
      <c r="AD431" t="n">
        <v>3</v>
      </c>
      <c r="AE431" t="n">
        <v>19</v>
      </c>
      <c r="AF431" t="n">
        <v>2</v>
      </c>
      <c r="AG431" t="n">
        <v>7</v>
      </c>
      <c r="AH431" t="n">
        <v>1</v>
      </c>
      <c r="AI431" t="n">
        <v>3</v>
      </c>
      <c r="AJ431" t="n">
        <v>0</v>
      </c>
      <c r="AK431" t="n">
        <v>11</v>
      </c>
      <c r="AL431" t="n">
        <v>0</v>
      </c>
      <c r="AM431" t="n">
        <v>2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HYPERLINK("https://creighton-primo.hosted.exlibrisgroup.com/primo-explore/search?tab=default_tab&amp;search_scope=EVERYTHING&amp;vid=01CRU&amp;lang=en_US&amp;offset=0&amp;query=any,contains,991000939389702656","Catalog Record")</f>
        <v/>
      </c>
      <c r="AT431">
        <f>HYPERLINK("http://www.worldcat.org/oclc/14388252","WorldCat Record")</f>
        <v/>
      </c>
      <c r="AU431" t="inlineStr">
        <is>
          <t>4714421408:eng</t>
        </is>
      </c>
      <c r="AV431" t="inlineStr">
        <is>
          <t>14388252</t>
        </is>
      </c>
      <c r="AW431" t="inlineStr">
        <is>
          <t>991000939389702656</t>
        </is>
      </c>
      <c r="AX431" t="inlineStr">
        <is>
          <t>991000939389702656</t>
        </is>
      </c>
      <c r="AY431" t="inlineStr">
        <is>
          <t>2255759840002656</t>
        </is>
      </c>
      <c r="AZ431" t="inlineStr">
        <is>
          <t>BOOK</t>
        </is>
      </c>
      <c r="BB431" t="inlineStr">
        <is>
          <t>9780394348292</t>
        </is>
      </c>
      <c r="BC431" t="inlineStr">
        <is>
          <t>32285001254910</t>
        </is>
      </c>
      <c r="BD431" t="inlineStr">
        <is>
          <t>893419906</t>
        </is>
      </c>
    </row>
    <row r="432">
      <c r="A432" t="inlineStr">
        <is>
          <t>No</t>
        </is>
      </c>
      <c r="B432" t="inlineStr">
        <is>
          <t>BF323.D6 K73 1977</t>
        </is>
      </c>
      <c r="C432" t="inlineStr">
        <is>
          <t>0                      BF 0323000D  6                  K  73          1977</t>
        </is>
      </c>
      <c r="D432" t="inlineStr">
        <is>
          <t>The anti-authoritarian personality / by William P. Kreml.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Kreml, William P.</t>
        </is>
      </c>
      <c r="L432" t="inlineStr">
        <is>
          <t>Oxford ; New York : Pergamon Press, c1977.</t>
        </is>
      </c>
      <c r="M432" t="inlineStr">
        <is>
          <t>1977</t>
        </is>
      </c>
      <c r="O432" t="inlineStr">
        <is>
          <t>eng</t>
        </is>
      </c>
      <c r="P432" t="inlineStr">
        <is>
          <t>enk</t>
        </is>
      </c>
      <c r="Q432" t="inlineStr">
        <is>
          <t>International series of monographs in experimental psychology ; v. 21</t>
        </is>
      </c>
      <c r="R432" t="inlineStr">
        <is>
          <t xml:space="preserve">BF </t>
        </is>
      </c>
      <c r="S432" t="n">
        <v>3</v>
      </c>
      <c r="T432" t="n">
        <v>3</v>
      </c>
      <c r="U432" t="inlineStr">
        <is>
          <t>2004-12-14</t>
        </is>
      </c>
      <c r="V432" t="inlineStr">
        <is>
          <t>2004-12-14</t>
        </is>
      </c>
      <c r="W432" t="inlineStr">
        <is>
          <t>1994-02-08</t>
        </is>
      </c>
      <c r="X432" t="inlineStr">
        <is>
          <t>1994-02-08</t>
        </is>
      </c>
      <c r="Y432" t="n">
        <v>350</v>
      </c>
      <c r="Z432" t="n">
        <v>242</v>
      </c>
      <c r="AA432" t="n">
        <v>276</v>
      </c>
      <c r="AB432" t="n">
        <v>3</v>
      </c>
      <c r="AC432" t="n">
        <v>4</v>
      </c>
      <c r="AD432" t="n">
        <v>10</v>
      </c>
      <c r="AE432" t="n">
        <v>13</v>
      </c>
      <c r="AF432" t="n">
        <v>1</v>
      </c>
      <c r="AG432" t="n">
        <v>2</v>
      </c>
      <c r="AH432" t="n">
        <v>3</v>
      </c>
      <c r="AI432" t="n">
        <v>4</v>
      </c>
      <c r="AJ432" t="n">
        <v>6</v>
      </c>
      <c r="AK432" t="n">
        <v>6</v>
      </c>
      <c r="AL432" t="n">
        <v>2</v>
      </c>
      <c r="AM432" t="n">
        <v>3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HYPERLINK("http://catalog.hathitrust.org/Record/000726487","HathiTrust Record")</f>
        <v/>
      </c>
      <c r="AS432">
        <f>HYPERLINK("https://creighton-primo.hosted.exlibrisgroup.com/primo-explore/search?tab=default_tab&amp;search_scope=EVERYTHING&amp;vid=01CRU&amp;lang=en_US&amp;offset=0&amp;query=any,contains,991004288519702656","Catalog Record")</f>
        <v/>
      </c>
      <c r="AT432">
        <f>HYPERLINK("http://www.worldcat.org/oclc/2933517","WorldCat Record")</f>
        <v/>
      </c>
      <c r="AU432" t="inlineStr">
        <is>
          <t>6908748:eng</t>
        </is>
      </c>
      <c r="AV432" t="inlineStr">
        <is>
          <t>2933517</t>
        </is>
      </c>
      <c r="AW432" t="inlineStr">
        <is>
          <t>991004288519702656</t>
        </is>
      </c>
      <c r="AX432" t="inlineStr">
        <is>
          <t>991004288519702656</t>
        </is>
      </c>
      <c r="AY432" t="inlineStr">
        <is>
          <t>2268168550002656</t>
        </is>
      </c>
      <c r="AZ432" t="inlineStr">
        <is>
          <t>BOOK</t>
        </is>
      </c>
      <c r="BB432" t="inlineStr">
        <is>
          <t>9780080210636</t>
        </is>
      </c>
      <c r="BC432" t="inlineStr">
        <is>
          <t>32285001837607</t>
        </is>
      </c>
      <c r="BD432" t="inlineStr">
        <is>
          <t>893700056</t>
        </is>
      </c>
    </row>
    <row r="433">
      <c r="A433" t="inlineStr">
        <is>
          <t>No</t>
        </is>
      </c>
      <c r="B433" t="inlineStr">
        <is>
          <t>BF323.D6 W54 1972</t>
        </is>
      </c>
      <c r="C433" t="inlineStr">
        <is>
          <t>0                      BF 0323000D  6                  W  54          1972</t>
        </is>
      </c>
      <c r="D433" t="inlineStr">
        <is>
          <t>The broken rebel; a study in culture, politics, and authoritarian character.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Wilkinson, Rupert.</t>
        </is>
      </c>
      <c r="L433" t="inlineStr">
        <is>
          <t>New York, Harper &amp; Row [1972]</t>
        </is>
      </c>
      <c r="M433" t="inlineStr">
        <is>
          <t>1972</t>
        </is>
      </c>
      <c r="N433" t="inlineStr">
        <is>
          <t>[1st ed.]</t>
        </is>
      </c>
      <c r="O433" t="inlineStr">
        <is>
          <t>eng</t>
        </is>
      </c>
      <c r="P433" t="inlineStr">
        <is>
          <t>nyu</t>
        </is>
      </c>
      <c r="R433" t="inlineStr">
        <is>
          <t xml:space="preserve">BF </t>
        </is>
      </c>
      <c r="S433" t="n">
        <v>1</v>
      </c>
      <c r="T433" t="n">
        <v>1</v>
      </c>
      <c r="U433" t="inlineStr">
        <is>
          <t>2004-12-14</t>
        </is>
      </c>
      <c r="V433" t="inlineStr">
        <is>
          <t>2004-12-14</t>
        </is>
      </c>
      <c r="W433" t="inlineStr">
        <is>
          <t>1996-07-26</t>
        </is>
      </c>
      <c r="X433" t="inlineStr">
        <is>
          <t>1996-07-26</t>
        </is>
      </c>
      <c r="Y433" t="n">
        <v>426</v>
      </c>
      <c r="Z433" t="n">
        <v>359</v>
      </c>
      <c r="AA433" t="n">
        <v>368</v>
      </c>
      <c r="AB433" t="n">
        <v>2</v>
      </c>
      <c r="AC433" t="n">
        <v>2</v>
      </c>
      <c r="AD433" t="n">
        <v>15</v>
      </c>
      <c r="AE433" t="n">
        <v>15</v>
      </c>
      <c r="AF433" t="n">
        <v>5</v>
      </c>
      <c r="AG433" t="n">
        <v>5</v>
      </c>
      <c r="AH433" t="n">
        <v>5</v>
      </c>
      <c r="AI433" t="n">
        <v>5</v>
      </c>
      <c r="AJ433" t="n">
        <v>9</v>
      </c>
      <c r="AK433" t="n">
        <v>9</v>
      </c>
      <c r="AL433" t="n">
        <v>1</v>
      </c>
      <c r="AM433" t="n">
        <v>1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HYPERLINK("http://catalog.hathitrust.org/Record/000355059","HathiTrust Record")</f>
        <v/>
      </c>
      <c r="AS433">
        <f>HYPERLINK("https://creighton-primo.hosted.exlibrisgroup.com/primo-explore/search?tab=default_tab&amp;search_scope=EVERYTHING&amp;vid=01CRU&amp;lang=en_US&amp;offset=0&amp;query=any,contains,991002863849702656","Catalog Record")</f>
        <v/>
      </c>
      <c r="AT433">
        <f>HYPERLINK("http://www.worldcat.org/oclc/494967","WorldCat Record")</f>
        <v/>
      </c>
      <c r="AU433" t="inlineStr">
        <is>
          <t>1588755:eng</t>
        </is>
      </c>
      <c r="AV433" t="inlineStr">
        <is>
          <t>494967</t>
        </is>
      </c>
      <c r="AW433" t="inlineStr">
        <is>
          <t>991002863849702656</t>
        </is>
      </c>
      <c r="AX433" t="inlineStr">
        <is>
          <t>991002863849702656</t>
        </is>
      </c>
      <c r="AY433" t="inlineStr">
        <is>
          <t>2255782930002656</t>
        </is>
      </c>
      <c r="AZ433" t="inlineStr">
        <is>
          <t>BOOK</t>
        </is>
      </c>
      <c r="BB433" t="inlineStr">
        <is>
          <t>9780060146603</t>
        </is>
      </c>
      <c r="BC433" t="inlineStr">
        <is>
          <t>32285002247079</t>
        </is>
      </c>
      <c r="BD433" t="inlineStr">
        <is>
          <t>893262516</t>
        </is>
      </c>
    </row>
    <row r="434">
      <c r="A434" t="inlineStr">
        <is>
          <t>No</t>
        </is>
      </c>
      <c r="B434" t="inlineStr">
        <is>
          <t>BF323.E8 J66</t>
        </is>
      </c>
      <c r="C434" t="inlineStr">
        <is>
          <t>0                      BF 0323000E  8                  J  66</t>
        </is>
      </c>
      <c r="D434" t="inlineStr">
        <is>
          <t>Self-fulfilling prophecies : social, psychological, and physiological effects of expectancies / Russell A. Jones.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Jones, Russell A.</t>
        </is>
      </c>
      <c r="L434" t="inlineStr">
        <is>
          <t>Hillsdale, N.J. : L. Erlbaum Associates ; New York : distributed by Halsted Press, c1977.</t>
        </is>
      </c>
      <c r="M434" t="inlineStr">
        <is>
          <t>1977</t>
        </is>
      </c>
      <c r="O434" t="inlineStr">
        <is>
          <t>eng</t>
        </is>
      </c>
      <c r="P434" t="inlineStr">
        <is>
          <t>nju</t>
        </is>
      </c>
      <c r="R434" t="inlineStr">
        <is>
          <t xml:space="preserve">BF </t>
        </is>
      </c>
      <c r="S434" t="n">
        <v>2</v>
      </c>
      <c r="T434" t="n">
        <v>2</v>
      </c>
      <c r="U434" t="inlineStr">
        <is>
          <t>1994-10-26</t>
        </is>
      </c>
      <c r="V434" t="inlineStr">
        <is>
          <t>1994-10-26</t>
        </is>
      </c>
      <c r="W434" t="inlineStr">
        <is>
          <t>1991-12-10</t>
        </is>
      </c>
      <c r="X434" t="inlineStr">
        <is>
          <t>1991-12-10</t>
        </is>
      </c>
      <c r="Y434" t="n">
        <v>596</v>
      </c>
      <c r="Z434" t="n">
        <v>476</v>
      </c>
      <c r="AA434" t="n">
        <v>476</v>
      </c>
      <c r="AB434" t="n">
        <v>5</v>
      </c>
      <c r="AC434" t="n">
        <v>5</v>
      </c>
      <c r="AD434" t="n">
        <v>22</v>
      </c>
      <c r="AE434" t="n">
        <v>22</v>
      </c>
      <c r="AF434" t="n">
        <v>9</v>
      </c>
      <c r="AG434" t="n">
        <v>9</v>
      </c>
      <c r="AH434" t="n">
        <v>6</v>
      </c>
      <c r="AI434" t="n">
        <v>6</v>
      </c>
      <c r="AJ434" t="n">
        <v>14</v>
      </c>
      <c r="AK434" t="n">
        <v>14</v>
      </c>
      <c r="AL434" t="n">
        <v>3</v>
      </c>
      <c r="AM434" t="n">
        <v>3</v>
      </c>
      <c r="AN434" t="n">
        <v>0</v>
      </c>
      <c r="AO434" t="n">
        <v>0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HYPERLINK("https://creighton-primo.hosted.exlibrisgroup.com/primo-explore/search?tab=default_tab&amp;search_scope=EVERYTHING&amp;vid=01CRU&amp;lang=en_US&amp;offset=0&amp;query=any,contains,991004431999702656","Catalog Record")</f>
        <v/>
      </c>
      <c r="AT434">
        <f>HYPERLINK("http://www.worldcat.org/oclc/3426956","WorldCat Record")</f>
        <v/>
      </c>
      <c r="AU434" t="inlineStr">
        <is>
          <t>10313041:eng</t>
        </is>
      </c>
      <c r="AV434" t="inlineStr">
        <is>
          <t>3426956</t>
        </is>
      </c>
      <c r="AW434" t="inlineStr">
        <is>
          <t>991004431999702656</t>
        </is>
      </c>
      <c r="AX434" t="inlineStr">
        <is>
          <t>991004431999702656</t>
        </is>
      </c>
      <c r="AY434" t="inlineStr">
        <is>
          <t>2260088310002656</t>
        </is>
      </c>
      <c r="AZ434" t="inlineStr">
        <is>
          <t>BOOK</t>
        </is>
      </c>
      <c r="BB434" t="inlineStr">
        <is>
          <t>9780470993019</t>
        </is>
      </c>
      <c r="BC434" t="inlineStr">
        <is>
          <t>32285000875186</t>
        </is>
      </c>
      <c r="BD434" t="inlineStr">
        <is>
          <t>893411533</t>
        </is>
      </c>
    </row>
    <row r="435">
      <c r="A435" t="inlineStr">
        <is>
          <t>No</t>
        </is>
      </c>
      <c r="B435" t="inlineStr">
        <is>
          <t>BF323.L5 B33</t>
        </is>
      </c>
      <c r="C435" t="inlineStr">
        <is>
          <t>0                      BF 0323000L  5                  B  33</t>
        </is>
      </c>
      <c r="D435" t="inlineStr">
        <is>
          <t>How to make people listen to you / by Dominick A. Barbara.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Barbara, Dominick A.</t>
        </is>
      </c>
      <c r="L435" t="inlineStr">
        <is>
          <t>Springfield, Ill. : Thomas, [1971]</t>
        </is>
      </c>
      <c r="M435" t="inlineStr">
        <is>
          <t>1971</t>
        </is>
      </c>
      <c r="O435" t="inlineStr">
        <is>
          <t>eng</t>
        </is>
      </c>
      <c r="P435" t="inlineStr">
        <is>
          <t>ilu</t>
        </is>
      </c>
      <c r="Q435" t="inlineStr">
        <is>
          <t>American lecture series ; publication no. 819</t>
        </is>
      </c>
      <c r="R435" t="inlineStr">
        <is>
          <t xml:space="preserve">BF </t>
        </is>
      </c>
      <c r="S435" t="n">
        <v>13</v>
      </c>
      <c r="T435" t="n">
        <v>13</v>
      </c>
      <c r="U435" t="inlineStr">
        <is>
          <t>2001-03-02</t>
        </is>
      </c>
      <c r="V435" t="inlineStr">
        <is>
          <t>2001-03-02</t>
        </is>
      </c>
      <c r="W435" t="inlineStr">
        <is>
          <t>1990-04-12</t>
        </is>
      </c>
      <c r="X435" t="inlineStr">
        <is>
          <t>1990-04-12</t>
        </is>
      </c>
      <c r="Y435" t="n">
        <v>223</v>
      </c>
      <c r="Z435" t="n">
        <v>199</v>
      </c>
      <c r="AA435" t="n">
        <v>202</v>
      </c>
      <c r="AB435" t="n">
        <v>3</v>
      </c>
      <c r="AC435" t="n">
        <v>3</v>
      </c>
      <c r="AD435" t="n">
        <v>7</v>
      </c>
      <c r="AE435" t="n">
        <v>7</v>
      </c>
      <c r="AF435" t="n">
        <v>5</v>
      </c>
      <c r="AG435" t="n">
        <v>5</v>
      </c>
      <c r="AH435" t="n">
        <v>0</v>
      </c>
      <c r="AI435" t="n">
        <v>0</v>
      </c>
      <c r="AJ435" t="n">
        <v>2</v>
      </c>
      <c r="AK435" t="n">
        <v>2</v>
      </c>
      <c r="AL435" t="n">
        <v>2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HYPERLINK("http://catalog.hathitrust.org/Record/000355399","HathiTrust Record")</f>
        <v/>
      </c>
      <c r="AS435">
        <f>HYPERLINK("https://creighton-primo.hosted.exlibrisgroup.com/primo-explore/search?tab=default_tab&amp;search_scope=EVERYTHING&amp;vid=01CRU&amp;lang=en_US&amp;offset=0&amp;query=any,contains,991001365789702656","Catalog Record")</f>
        <v/>
      </c>
      <c r="AT435">
        <f>HYPERLINK("http://www.worldcat.org/oclc/222444","WorldCat Record")</f>
        <v/>
      </c>
      <c r="AU435" t="inlineStr">
        <is>
          <t>1328684:eng</t>
        </is>
      </c>
      <c r="AV435" t="inlineStr">
        <is>
          <t>222444</t>
        </is>
      </c>
      <c r="AW435" t="inlineStr">
        <is>
          <t>991001365789702656</t>
        </is>
      </c>
      <c r="AX435" t="inlineStr">
        <is>
          <t>991001365789702656</t>
        </is>
      </c>
      <c r="AY435" t="inlineStr">
        <is>
          <t>2262165430002656</t>
        </is>
      </c>
      <c r="AZ435" t="inlineStr">
        <is>
          <t>BOOK</t>
        </is>
      </c>
      <c r="BC435" t="inlineStr">
        <is>
          <t>32285000094697</t>
        </is>
      </c>
      <c r="BD435" t="inlineStr">
        <is>
          <t>893715390</t>
        </is>
      </c>
    </row>
    <row r="436">
      <c r="A436" t="inlineStr">
        <is>
          <t>No</t>
        </is>
      </c>
      <c r="B436" t="inlineStr">
        <is>
          <t>BF323.S63 H56 1993</t>
        </is>
      </c>
      <c r="C436" t="inlineStr">
        <is>
          <t>0                      BF 0323000S  63                 H  56          1993</t>
        </is>
      </c>
      <c r="D436" t="inlineStr">
        <is>
          <t>The psychology of interpersonal perception / Perry R. Hinton.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Hinton, Perry R. (Perry Roy), 1954-</t>
        </is>
      </c>
      <c r="L436" t="inlineStr">
        <is>
          <t>London ; New York : Routledge, 1993.</t>
        </is>
      </c>
      <c r="M436" t="inlineStr">
        <is>
          <t>1993</t>
        </is>
      </c>
      <c r="O436" t="inlineStr">
        <is>
          <t>eng</t>
        </is>
      </c>
      <c r="P436" t="inlineStr">
        <is>
          <t>enk</t>
        </is>
      </c>
      <c r="R436" t="inlineStr">
        <is>
          <t xml:space="preserve">BF </t>
        </is>
      </c>
      <c r="S436" t="n">
        <v>2</v>
      </c>
      <c r="T436" t="n">
        <v>2</v>
      </c>
      <c r="U436" t="inlineStr">
        <is>
          <t>2007-11-19</t>
        </is>
      </c>
      <c r="V436" t="inlineStr">
        <is>
          <t>2007-11-19</t>
        </is>
      </c>
      <c r="W436" t="inlineStr">
        <is>
          <t>1995-02-02</t>
        </is>
      </c>
      <c r="X436" t="inlineStr">
        <is>
          <t>1995-02-02</t>
        </is>
      </c>
      <c r="Y436" t="n">
        <v>335</v>
      </c>
      <c r="Z436" t="n">
        <v>163</v>
      </c>
      <c r="AA436" t="n">
        <v>168</v>
      </c>
      <c r="AB436" t="n">
        <v>3</v>
      </c>
      <c r="AC436" t="n">
        <v>3</v>
      </c>
      <c r="AD436" t="n">
        <v>8</v>
      </c>
      <c r="AE436" t="n">
        <v>8</v>
      </c>
      <c r="AF436" t="n">
        <v>1</v>
      </c>
      <c r="AG436" t="n">
        <v>1</v>
      </c>
      <c r="AH436" t="n">
        <v>2</v>
      </c>
      <c r="AI436" t="n">
        <v>2</v>
      </c>
      <c r="AJ436" t="n">
        <v>4</v>
      </c>
      <c r="AK436" t="n">
        <v>4</v>
      </c>
      <c r="AL436" t="n">
        <v>2</v>
      </c>
      <c r="AM436" t="n">
        <v>2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S436">
        <f>HYPERLINK("https://creighton-primo.hosted.exlibrisgroup.com/primo-explore/search?tab=default_tab&amp;search_scope=EVERYTHING&amp;vid=01CRU&amp;lang=en_US&amp;offset=0&amp;query=any,contains,991002022799702656","Catalog Record")</f>
        <v/>
      </c>
      <c r="AT436">
        <f>HYPERLINK("http://www.worldcat.org/oclc/25746324","WorldCat Record")</f>
        <v/>
      </c>
      <c r="AU436" t="inlineStr">
        <is>
          <t>41394714:eng</t>
        </is>
      </c>
      <c r="AV436" t="inlineStr">
        <is>
          <t>25746324</t>
        </is>
      </c>
      <c r="AW436" t="inlineStr">
        <is>
          <t>991002022799702656</t>
        </is>
      </c>
      <c r="AX436" t="inlineStr">
        <is>
          <t>991002022799702656</t>
        </is>
      </c>
      <c r="AY436" t="inlineStr">
        <is>
          <t>2269576170002656</t>
        </is>
      </c>
      <c r="AZ436" t="inlineStr">
        <is>
          <t>BOOK</t>
        </is>
      </c>
      <c r="BB436" t="inlineStr">
        <is>
          <t>9780415084512</t>
        </is>
      </c>
      <c r="BC436" t="inlineStr">
        <is>
          <t>32285001974384</t>
        </is>
      </c>
      <c r="BD436" t="inlineStr">
        <is>
          <t>893340947</t>
        </is>
      </c>
    </row>
    <row r="437">
      <c r="A437" t="inlineStr">
        <is>
          <t>No</t>
        </is>
      </c>
      <c r="B437" t="inlineStr">
        <is>
          <t>BF323.S63 J66 1990</t>
        </is>
      </c>
      <c r="C437" t="inlineStr">
        <is>
          <t>0                      BF 0323000S  63                 J  66          1990</t>
        </is>
      </c>
      <c r="D437" t="inlineStr">
        <is>
          <t>Interpersonal perception / Edward E. Jones.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Jones, Edward E. (Edward Ellsworth), 1926-1993.</t>
        </is>
      </c>
      <c r="L437" t="inlineStr">
        <is>
          <t>New York : W.H. Freeman, c1990.</t>
        </is>
      </c>
      <c r="M437" t="inlineStr">
        <is>
          <t>1990</t>
        </is>
      </c>
      <c r="O437" t="inlineStr">
        <is>
          <t>eng</t>
        </is>
      </c>
      <c r="P437" t="inlineStr">
        <is>
          <t>nyu</t>
        </is>
      </c>
      <c r="Q437" t="inlineStr">
        <is>
          <t>A Series of books in psychology</t>
        </is>
      </c>
      <c r="R437" t="inlineStr">
        <is>
          <t xml:space="preserve">BF </t>
        </is>
      </c>
      <c r="S437" t="n">
        <v>4</v>
      </c>
      <c r="T437" t="n">
        <v>4</v>
      </c>
      <c r="U437" t="inlineStr">
        <is>
          <t>1994-11-28</t>
        </is>
      </c>
      <c r="V437" t="inlineStr">
        <is>
          <t>1994-11-28</t>
        </is>
      </c>
      <c r="W437" t="inlineStr">
        <is>
          <t>1992-07-28</t>
        </is>
      </c>
      <c r="X437" t="inlineStr">
        <is>
          <t>1992-07-28</t>
        </is>
      </c>
      <c r="Y437" t="n">
        <v>824</v>
      </c>
      <c r="Z437" t="n">
        <v>655</v>
      </c>
      <c r="AA437" t="n">
        <v>655</v>
      </c>
      <c r="AB437" t="n">
        <v>3</v>
      </c>
      <c r="AC437" t="n">
        <v>3</v>
      </c>
      <c r="AD437" t="n">
        <v>32</v>
      </c>
      <c r="AE437" t="n">
        <v>32</v>
      </c>
      <c r="AF437" t="n">
        <v>13</v>
      </c>
      <c r="AG437" t="n">
        <v>13</v>
      </c>
      <c r="AH437" t="n">
        <v>7</v>
      </c>
      <c r="AI437" t="n">
        <v>7</v>
      </c>
      <c r="AJ437" t="n">
        <v>19</v>
      </c>
      <c r="AK437" t="n">
        <v>19</v>
      </c>
      <c r="AL437" t="n">
        <v>2</v>
      </c>
      <c r="AM437" t="n">
        <v>2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HYPERLINK("https://creighton-primo.hosted.exlibrisgroup.com/primo-explore/search?tab=default_tab&amp;search_scope=EVERYTHING&amp;vid=01CRU&amp;lang=en_US&amp;offset=0&amp;query=any,contains,991001733689702656","Catalog Record")</f>
        <v/>
      </c>
      <c r="AT437">
        <f>HYPERLINK("http://www.worldcat.org/oclc/21950924","WorldCat Record")</f>
        <v/>
      </c>
      <c r="AU437" t="inlineStr">
        <is>
          <t>3856416565:eng</t>
        </is>
      </c>
      <c r="AV437" t="inlineStr">
        <is>
          <t>21950924</t>
        </is>
      </c>
      <c r="AW437" t="inlineStr">
        <is>
          <t>991001733689702656</t>
        </is>
      </c>
      <c r="AX437" t="inlineStr">
        <is>
          <t>991001733689702656</t>
        </is>
      </c>
      <c r="AY437" t="inlineStr">
        <is>
          <t>2270925040002656</t>
        </is>
      </c>
      <c r="AZ437" t="inlineStr">
        <is>
          <t>BOOK</t>
        </is>
      </c>
      <c r="BB437" t="inlineStr">
        <is>
          <t>9780716721383</t>
        </is>
      </c>
      <c r="BC437" t="inlineStr">
        <is>
          <t>32285001195709</t>
        </is>
      </c>
      <c r="BD437" t="inlineStr">
        <is>
          <t>893516444</t>
        </is>
      </c>
    </row>
    <row r="438">
      <c r="A438" t="inlineStr">
        <is>
          <t>No</t>
        </is>
      </c>
      <c r="B438" t="inlineStr">
        <is>
          <t>BF323.S63 P47 1991</t>
        </is>
      </c>
      <c r="C438" t="inlineStr">
        <is>
          <t>0                      BF 0323000S  63                 P  47          1991</t>
        </is>
      </c>
      <c r="D438" t="inlineStr">
        <is>
          <t>Perspectives on socially shared cognition / edited by Lauren B. Resnick, John M. Levine, and Stephanie D. Teasley.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Washington, DC : American Psychological Association, c1991.</t>
        </is>
      </c>
      <c r="M438" t="inlineStr">
        <is>
          <t>1991</t>
        </is>
      </c>
      <c r="N438" t="inlineStr">
        <is>
          <t>1st ed.</t>
        </is>
      </c>
      <c r="O438" t="inlineStr">
        <is>
          <t>eng</t>
        </is>
      </c>
      <c r="P438" t="inlineStr">
        <is>
          <t>vau</t>
        </is>
      </c>
      <c r="R438" t="inlineStr">
        <is>
          <t xml:space="preserve">BF </t>
        </is>
      </c>
      <c r="S438" t="n">
        <v>4</v>
      </c>
      <c r="T438" t="n">
        <v>4</v>
      </c>
      <c r="U438" t="inlineStr">
        <is>
          <t>2009-10-08</t>
        </is>
      </c>
      <c r="V438" t="inlineStr">
        <is>
          <t>2009-10-08</t>
        </is>
      </c>
      <c r="W438" t="inlineStr">
        <is>
          <t>1992-03-06</t>
        </is>
      </c>
      <c r="X438" t="inlineStr">
        <is>
          <t>1992-03-06</t>
        </is>
      </c>
      <c r="Y438" t="n">
        <v>537</v>
      </c>
      <c r="Z438" t="n">
        <v>385</v>
      </c>
      <c r="AA438" t="n">
        <v>461</v>
      </c>
      <c r="AB438" t="n">
        <v>4</v>
      </c>
      <c r="AC438" t="n">
        <v>5</v>
      </c>
      <c r="AD438" t="n">
        <v>19</v>
      </c>
      <c r="AE438" t="n">
        <v>24</v>
      </c>
      <c r="AF438" t="n">
        <v>5</v>
      </c>
      <c r="AG438" t="n">
        <v>7</v>
      </c>
      <c r="AH438" t="n">
        <v>6</v>
      </c>
      <c r="AI438" t="n">
        <v>6</v>
      </c>
      <c r="AJ438" t="n">
        <v>9</v>
      </c>
      <c r="AK438" t="n">
        <v>11</v>
      </c>
      <c r="AL438" t="n">
        <v>3</v>
      </c>
      <c r="AM438" t="n">
        <v>4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HYPERLINK("https://creighton-primo.hosted.exlibrisgroup.com/primo-explore/search?tab=default_tab&amp;search_scope=EVERYTHING&amp;vid=01CRU&amp;lang=en_US&amp;offset=0&amp;query=any,contains,991001886959702656","Catalog Record")</f>
        <v/>
      </c>
      <c r="AT438">
        <f>HYPERLINK("http://www.worldcat.org/oclc/23768180","WorldCat Record")</f>
        <v/>
      </c>
      <c r="AU438" t="inlineStr">
        <is>
          <t>55463747:eng</t>
        </is>
      </c>
      <c r="AV438" t="inlineStr">
        <is>
          <t>23768180</t>
        </is>
      </c>
      <c r="AW438" t="inlineStr">
        <is>
          <t>991001886959702656</t>
        </is>
      </c>
      <c r="AX438" t="inlineStr">
        <is>
          <t>991001886959702656</t>
        </is>
      </c>
      <c r="AY438" t="inlineStr">
        <is>
          <t>2269848120002656</t>
        </is>
      </c>
      <c r="AZ438" t="inlineStr">
        <is>
          <t>BOOK</t>
        </is>
      </c>
      <c r="BB438" t="inlineStr">
        <is>
          <t>9781557981219</t>
        </is>
      </c>
      <c r="BC438" t="inlineStr">
        <is>
          <t>32285000937606</t>
        </is>
      </c>
      <c r="BD438" t="inlineStr">
        <is>
          <t>893797895</t>
        </is>
      </c>
    </row>
    <row r="439">
      <c r="A439" t="inlineStr">
        <is>
          <t>No</t>
        </is>
      </c>
      <c r="B439" t="inlineStr">
        <is>
          <t>BF325 .S87 1976</t>
        </is>
      </c>
      <c r="C439" t="inlineStr">
        <is>
          <t>0                      BF 0325000S  87          1976</t>
        </is>
      </c>
      <c r="D439" t="inlineStr">
        <is>
          <t>Cognitive processes in comprehension / edited by Marcel Adam Just, Patricia A. Carpenter.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Carnegie Symposium on Cognition (12th : 1976 : Carnegie-Mellon University)</t>
        </is>
      </c>
      <c r="L439" t="inlineStr">
        <is>
          <t>Hillsdale, N.J. : Lawrence Erlbaum Associates : distributed by the Halsted Press Division of Wiley, 1977.</t>
        </is>
      </c>
      <c r="M439" t="inlineStr">
        <is>
          <t>1977</t>
        </is>
      </c>
      <c r="O439" t="inlineStr">
        <is>
          <t>eng</t>
        </is>
      </c>
      <c r="P439" t="inlineStr">
        <is>
          <t>nju</t>
        </is>
      </c>
      <c r="R439" t="inlineStr">
        <is>
          <t xml:space="preserve">BF </t>
        </is>
      </c>
      <c r="S439" t="n">
        <v>1</v>
      </c>
      <c r="T439" t="n">
        <v>1</v>
      </c>
      <c r="U439" t="inlineStr">
        <is>
          <t>2005-02-22</t>
        </is>
      </c>
      <c r="V439" t="inlineStr">
        <is>
          <t>2005-02-22</t>
        </is>
      </c>
      <c r="W439" t="inlineStr">
        <is>
          <t>1996-07-26</t>
        </is>
      </c>
      <c r="X439" t="inlineStr">
        <is>
          <t>1996-07-26</t>
        </is>
      </c>
      <c r="Y439" t="n">
        <v>528</v>
      </c>
      <c r="Z439" t="n">
        <v>389</v>
      </c>
      <c r="AA439" t="n">
        <v>413</v>
      </c>
      <c r="AB439" t="n">
        <v>3</v>
      </c>
      <c r="AC439" t="n">
        <v>3</v>
      </c>
      <c r="AD439" t="n">
        <v>18</v>
      </c>
      <c r="AE439" t="n">
        <v>18</v>
      </c>
      <c r="AF439" t="n">
        <v>6</v>
      </c>
      <c r="AG439" t="n">
        <v>6</v>
      </c>
      <c r="AH439" t="n">
        <v>5</v>
      </c>
      <c r="AI439" t="n">
        <v>5</v>
      </c>
      <c r="AJ439" t="n">
        <v>8</v>
      </c>
      <c r="AK439" t="n">
        <v>8</v>
      </c>
      <c r="AL439" t="n">
        <v>2</v>
      </c>
      <c r="AM439" t="n">
        <v>2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HYPERLINK("http://catalog.hathitrust.org/Record/000750134","HathiTrust Record")</f>
        <v/>
      </c>
      <c r="AS439">
        <f>HYPERLINK("https://creighton-primo.hosted.exlibrisgroup.com/primo-explore/search?tab=default_tab&amp;search_scope=EVERYTHING&amp;vid=01CRU&amp;lang=en_US&amp;offset=0&amp;query=any,contains,991004415399702656","Catalog Record")</f>
        <v/>
      </c>
      <c r="AT439">
        <f>HYPERLINK("http://www.worldcat.org/oclc/3361159","WorldCat Record")</f>
        <v/>
      </c>
      <c r="AU439" t="inlineStr">
        <is>
          <t>916923075:eng</t>
        </is>
      </c>
      <c r="AV439" t="inlineStr">
        <is>
          <t>3361159</t>
        </is>
      </c>
      <c r="AW439" t="inlineStr">
        <is>
          <t>991004415399702656</t>
        </is>
      </c>
      <c r="AX439" t="inlineStr">
        <is>
          <t>991004415399702656</t>
        </is>
      </c>
      <c r="AY439" t="inlineStr">
        <is>
          <t>2255766420002656</t>
        </is>
      </c>
      <c r="AZ439" t="inlineStr">
        <is>
          <t>BOOK</t>
        </is>
      </c>
      <c r="BB439" t="inlineStr">
        <is>
          <t>9780470993460</t>
        </is>
      </c>
      <c r="BC439" t="inlineStr">
        <is>
          <t>32285002247111</t>
        </is>
      </c>
      <c r="BD439" t="inlineStr">
        <is>
          <t>893241402</t>
        </is>
      </c>
    </row>
    <row r="440">
      <c r="A440" t="inlineStr">
        <is>
          <t>No</t>
        </is>
      </c>
      <c r="B440" t="inlineStr">
        <is>
          <t>BF335 .S34 1965</t>
        </is>
      </c>
      <c r="C440" t="inlineStr">
        <is>
          <t>0                      BF 0335000S  34          1965</t>
        </is>
      </c>
      <c r="D440" t="inlineStr">
        <is>
          <t>Personality dynamics and mental health; principles of adjustment and mental hygiene [by] Alexander A. Schneiders.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Schneiders, Alexander A. (Alexander Aloysius), 1909-1968.</t>
        </is>
      </c>
      <c r="L440" t="inlineStr">
        <is>
          <t>New York, Holt, Rinehart and Winston [1965]</t>
        </is>
      </c>
      <c r="M440" t="inlineStr">
        <is>
          <t>1965</t>
        </is>
      </c>
      <c r="N440" t="inlineStr">
        <is>
          <t>Rev. ed.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BF </t>
        </is>
      </c>
      <c r="S440" t="n">
        <v>2</v>
      </c>
      <c r="T440" t="n">
        <v>2</v>
      </c>
      <c r="U440" t="inlineStr">
        <is>
          <t>1996-12-03</t>
        </is>
      </c>
      <c r="V440" t="inlineStr">
        <is>
          <t>1996-12-03</t>
        </is>
      </c>
      <c r="W440" t="inlineStr">
        <is>
          <t>1996-07-26</t>
        </is>
      </c>
      <c r="X440" t="inlineStr">
        <is>
          <t>1996-07-26</t>
        </is>
      </c>
      <c r="Y440" t="n">
        <v>331</v>
      </c>
      <c r="Z440" t="n">
        <v>284</v>
      </c>
      <c r="AA440" t="n">
        <v>292</v>
      </c>
      <c r="AB440" t="n">
        <v>2</v>
      </c>
      <c r="AC440" t="n">
        <v>2</v>
      </c>
      <c r="AD440" t="n">
        <v>13</v>
      </c>
      <c r="AE440" t="n">
        <v>13</v>
      </c>
      <c r="AF440" t="n">
        <v>5</v>
      </c>
      <c r="AG440" t="n">
        <v>5</v>
      </c>
      <c r="AH440" t="n">
        <v>1</v>
      </c>
      <c r="AI440" t="n">
        <v>1</v>
      </c>
      <c r="AJ440" t="n">
        <v>10</v>
      </c>
      <c r="AK440" t="n">
        <v>10</v>
      </c>
      <c r="AL440" t="n">
        <v>1</v>
      </c>
      <c r="AM440" t="n">
        <v>1</v>
      </c>
      <c r="AN440" t="n">
        <v>0</v>
      </c>
      <c r="AO440" t="n">
        <v>0</v>
      </c>
      <c r="AP440" t="inlineStr">
        <is>
          <t>No</t>
        </is>
      </c>
      <c r="AQ440" t="inlineStr">
        <is>
          <t>Yes</t>
        </is>
      </c>
      <c r="AR440">
        <f>HYPERLINK("http://catalog.hathitrust.org/Record/000382503","HathiTrust Record")</f>
        <v/>
      </c>
      <c r="AS440">
        <f>HYPERLINK("https://creighton-primo.hosted.exlibrisgroup.com/primo-explore/search?tab=default_tab&amp;search_scope=EVERYTHING&amp;vid=01CRU&amp;lang=en_US&amp;offset=0&amp;query=any,contains,991001213789702656","Catalog Record")</f>
        <v/>
      </c>
      <c r="AT440">
        <f>HYPERLINK("http://www.worldcat.org/oclc/193345","WorldCat Record")</f>
        <v/>
      </c>
      <c r="AU440" t="inlineStr">
        <is>
          <t>196160792:eng</t>
        </is>
      </c>
      <c r="AV440" t="inlineStr">
        <is>
          <t>193345</t>
        </is>
      </c>
      <c r="AW440" t="inlineStr">
        <is>
          <t>991001213789702656</t>
        </is>
      </c>
      <c r="AX440" t="inlineStr">
        <is>
          <t>991001213789702656</t>
        </is>
      </c>
      <c r="AY440" t="inlineStr">
        <is>
          <t>2270837160002656</t>
        </is>
      </c>
      <c r="AZ440" t="inlineStr">
        <is>
          <t>BOOK</t>
        </is>
      </c>
      <c r="BC440" t="inlineStr">
        <is>
          <t>32285002247293</t>
        </is>
      </c>
      <c r="BD440" t="inlineStr">
        <is>
          <t>893772404</t>
        </is>
      </c>
    </row>
    <row r="441">
      <c r="A441" t="inlineStr">
        <is>
          <t>No</t>
        </is>
      </c>
      <c r="B441" t="inlineStr">
        <is>
          <t>BF341 .B68</t>
        </is>
      </c>
      <c r="C441" t="inlineStr">
        <is>
          <t>0                      BF 0341000B  68</t>
        </is>
      </c>
      <c r="D441" t="inlineStr">
        <is>
          <t>Brain, environment, and social psychology / by J. K. Chadwick-Jones ... [et al.].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L441" t="inlineStr">
        <is>
          <t>Baltimore : University Park Press, c1979.</t>
        </is>
      </c>
      <c r="M441" t="inlineStr">
        <is>
          <t>1979</t>
        </is>
      </c>
      <c r="O441" t="inlineStr">
        <is>
          <t>eng</t>
        </is>
      </c>
      <c r="P441" t="inlineStr">
        <is>
          <t>mdu</t>
        </is>
      </c>
      <c r="R441" t="inlineStr">
        <is>
          <t xml:space="preserve">BF </t>
        </is>
      </c>
      <c r="S441" t="n">
        <v>5</v>
      </c>
      <c r="T441" t="n">
        <v>5</v>
      </c>
      <c r="U441" t="inlineStr">
        <is>
          <t>1999-03-13</t>
        </is>
      </c>
      <c r="V441" t="inlineStr">
        <is>
          <t>1999-03-13</t>
        </is>
      </c>
      <c r="W441" t="inlineStr">
        <is>
          <t>1991-12-06</t>
        </is>
      </c>
      <c r="X441" t="inlineStr">
        <is>
          <t>1991-12-06</t>
        </is>
      </c>
      <c r="Y441" t="n">
        <v>327</v>
      </c>
      <c r="Z441" t="n">
        <v>265</v>
      </c>
      <c r="AA441" t="n">
        <v>267</v>
      </c>
      <c r="AB441" t="n">
        <v>2</v>
      </c>
      <c r="AC441" t="n">
        <v>2</v>
      </c>
      <c r="AD441" t="n">
        <v>12</v>
      </c>
      <c r="AE441" t="n">
        <v>12</v>
      </c>
      <c r="AF441" t="n">
        <v>3</v>
      </c>
      <c r="AG441" t="n">
        <v>3</v>
      </c>
      <c r="AH441" t="n">
        <v>5</v>
      </c>
      <c r="AI441" t="n">
        <v>5</v>
      </c>
      <c r="AJ441" t="n">
        <v>6</v>
      </c>
      <c r="AK441" t="n">
        <v>6</v>
      </c>
      <c r="AL441" t="n">
        <v>1</v>
      </c>
      <c r="AM441" t="n">
        <v>1</v>
      </c>
      <c r="AN441" t="n">
        <v>0</v>
      </c>
      <c r="AO441" t="n">
        <v>0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HYPERLINK("http://catalog.hathitrust.org/Record/000257554","HathiTrust Record")</f>
        <v/>
      </c>
      <c r="AS441">
        <f>HYPERLINK("https://creighton-primo.hosted.exlibrisgroup.com/primo-explore/search?tab=default_tab&amp;search_scope=EVERYTHING&amp;vid=01CRU&amp;lang=en_US&amp;offset=0&amp;query=any,contains,991004671149702656","Catalog Record")</f>
        <v/>
      </c>
      <c r="AT441">
        <f>HYPERLINK("http://www.worldcat.org/oclc/4515516","WorldCat Record")</f>
        <v/>
      </c>
      <c r="AU441" t="inlineStr">
        <is>
          <t>504118:eng</t>
        </is>
      </c>
      <c r="AV441" t="inlineStr">
        <is>
          <t>4515516</t>
        </is>
      </c>
      <c r="AW441" t="inlineStr">
        <is>
          <t>991004671149702656</t>
        </is>
      </c>
      <c r="AX441" t="inlineStr">
        <is>
          <t>991004671149702656</t>
        </is>
      </c>
      <c r="AY441" t="inlineStr">
        <is>
          <t>2263047640002656</t>
        </is>
      </c>
      <c r="AZ441" t="inlineStr">
        <is>
          <t>BOOK</t>
        </is>
      </c>
      <c r="BB441" t="inlineStr">
        <is>
          <t>9780839113232</t>
        </is>
      </c>
      <c r="BC441" t="inlineStr">
        <is>
          <t>32285000838283</t>
        </is>
      </c>
      <c r="BD441" t="inlineStr">
        <is>
          <t>893337986</t>
        </is>
      </c>
    </row>
    <row r="442">
      <c r="A442" t="inlineStr">
        <is>
          <t>No</t>
        </is>
      </c>
      <c r="B442" t="inlineStr">
        <is>
          <t>BF353 .B3</t>
        </is>
      </c>
      <c r="C442" t="inlineStr">
        <is>
          <t>0                      BF 0353000B  3</t>
        </is>
      </c>
      <c r="D442" t="inlineStr">
        <is>
          <t>Ecological psychology; concepts and methods for studying the environment of human behavior [by] Roger G. Barker.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Barker, Roger G. (Roger Garlock), 1903-1990.</t>
        </is>
      </c>
      <c r="L442" t="inlineStr">
        <is>
          <t>Stanford, Calif., Stanford University Press, 1968.</t>
        </is>
      </c>
      <c r="M442" t="inlineStr">
        <is>
          <t>1968</t>
        </is>
      </c>
      <c r="O442" t="inlineStr">
        <is>
          <t>eng</t>
        </is>
      </c>
      <c r="P442" t="inlineStr">
        <is>
          <t>cau</t>
        </is>
      </c>
      <c r="R442" t="inlineStr">
        <is>
          <t xml:space="preserve">BF </t>
        </is>
      </c>
      <c r="S442" t="n">
        <v>2</v>
      </c>
      <c r="T442" t="n">
        <v>2</v>
      </c>
      <c r="U442" t="inlineStr">
        <is>
          <t>2003-04-10</t>
        </is>
      </c>
      <c r="V442" t="inlineStr">
        <is>
          <t>2003-04-10</t>
        </is>
      </c>
      <c r="W442" t="inlineStr">
        <is>
          <t>1996-07-26</t>
        </is>
      </c>
      <c r="X442" t="inlineStr">
        <is>
          <t>1996-07-26</t>
        </is>
      </c>
      <c r="Y442" t="n">
        <v>967</v>
      </c>
      <c r="Z442" t="n">
        <v>775</v>
      </c>
      <c r="AA442" t="n">
        <v>784</v>
      </c>
      <c r="AB442" t="n">
        <v>6</v>
      </c>
      <c r="AC442" t="n">
        <v>6</v>
      </c>
      <c r="AD442" t="n">
        <v>38</v>
      </c>
      <c r="AE442" t="n">
        <v>38</v>
      </c>
      <c r="AF442" t="n">
        <v>15</v>
      </c>
      <c r="AG442" t="n">
        <v>15</v>
      </c>
      <c r="AH442" t="n">
        <v>8</v>
      </c>
      <c r="AI442" t="n">
        <v>8</v>
      </c>
      <c r="AJ442" t="n">
        <v>17</v>
      </c>
      <c r="AK442" t="n">
        <v>17</v>
      </c>
      <c r="AL442" t="n">
        <v>5</v>
      </c>
      <c r="AM442" t="n">
        <v>5</v>
      </c>
      <c r="AN442" t="n">
        <v>1</v>
      </c>
      <c r="AO442" t="n">
        <v>1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HYPERLINK("http://catalog.hathitrust.org/Record/000382532","HathiTrust Record")</f>
        <v/>
      </c>
      <c r="AS442">
        <f>HYPERLINK("https://creighton-primo.hosted.exlibrisgroup.com/primo-explore/search?tab=default_tab&amp;search_scope=EVERYTHING&amp;vid=01CRU&amp;lang=en_US&amp;offset=0&amp;query=any,contains,991001213679702656","Catalog Record")</f>
        <v/>
      </c>
      <c r="AT442">
        <f>HYPERLINK("http://www.worldcat.org/oclc/193336","WorldCat Record")</f>
        <v/>
      </c>
      <c r="AU442" t="inlineStr">
        <is>
          <t>349264298:eng</t>
        </is>
      </c>
      <c r="AV442" t="inlineStr">
        <is>
          <t>193336</t>
        </is>
      </c>
      <c r="AW442" t="inlineStr">
        <is>
          <t>991001213679702656</t>
        </is>
      </c>
      <c r="AX442" t="inlineStr">
        <is>
          <t>991001213679702656</t>
        </is>
      </c>
      <c r="AY442" t="inlineStr">
        <is>
          <t>2270833310002656</t>
        </is>
      </c>
      <c r="AZ442" t="inlineStr">
        <is>
          <t>BOOK</t>
        </is>
      </c>
      <c r="BC442" t="inlineStr">
        <is>
          <t>32285002247350</t>
        </is>
      </c>
      <c r="BD442" t="inlineStr">
        <is>
          <t>893778644</t>
        </is>
      </c>
    </row>
    <row r="443">
      <c r="A443" t="inlineStr">
        <is>
          <t>No</t>
        </is>
      </c>
      <c r="B443" t="inlineStr">
        <is>
          <t>BF353 .B314</t>
        </is>
      </c>
      <c r="C443" t="inlineStr">
        <is>
          <t>0                      BF 0353000B  314</t>
        </is>
      </c>
      <c r="D443" t="inlineStr">
        <is>
          <t>Habitats, environments, and human behavior : [studies in ecological psychology and eco-behavioral science from the Midwest Psychological Field Station, 1947-1972] / Roger G. Barker and associates.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Barker, Roger G. (Roger Garlock), 1903-1990.</t>
        </is>
      </c>
      <c r="L443" t="inlineStr">
        <is>
          <t>San Francisco : Jossey-Bass, 1978.</t>
        </is>
      </c>
      <c r="M443" t="inlineStr">
        <is>
          <t>1978</t>
        </is>
      </c>
      <c r="N443" t="inlineStr">
        <is>
          <t>1st ed.</t>
        </is>
      </c>
      <c r="O443" t="inlineStr">
        <is>
          <t>eng</t>
        </is>
      </c>
      <c r="P443" t="inlineStr">
        <is>
          <t>cau</t>
        </is>
      </c>
      <c r="Q443" t="inlineStr">
        <is>
          <t>The Jossey-Bass social and behavioral science series</t>
        </is>
      </c>
      <c r="R443" t="inlineStr">
        <is>
          <t xml:space="preserve">BF </t>
        </is>
      </c>
      <c r="S443" t="n">
        <v>4</v>
      </c>
      <c r="T443" t="n">
        <v>4</v>
      </c>
      <c r="U443" t="inlineStr">
        <is>
          <t>2003-04-10</t>
        </is>
      </c>
      <c r="V443" t="inlineStr">
        <is>
          <t>2003-04-10</t>
        </is>
      </c>
      <c r="W443" t="inlineStr">
        <is>
          <t>1990-04-25</t>
        </is>
      </c>
      <c r="X443" t="inlineStr">
        <is>
          <t>1990-04-25</t>
        </is>
      </c>
      <c r="Y443" t="n">
        <v>600</v>
      </c>
      <c r="Z443" t="n">
        <v>496</v>
      </c>
      <c r="AA443" t="n">
        <v>521</v>
      </c>
      <c r="AB443" t="n">
        <v>5</v>
      </c>
      <c r="AC443" t="n">
        <v>5</v>
      </c>
      <c r="AD443" t="n">
        <v>23</v>
      </c>
      <c r="AE443" t="n">
        <v>23</v>
      </c>
      <c r="AF443" t="n">
        <v>6</v>
      </c>
      <c r="AG443" t="n">
        <v>6</v>
      </c>
      <c r="AH443" t="n">
        <v>8</v>
      </c>
      <c r="AI443" t="n">
        <v>8</v>
      </c>
      <c r="AJ443" t="n">
        <v>13</v>
      </c>
      <c r="AK443" t="n">
        <v>13</v>
      </c>
      <c r="AL443" t="n">
        <v>3</v>
      </c>
      <c r="AM443" t="n">
        <v>3</v>
      </c>
      <c r="AN443" t="n">
        <v>0</v>
      </c>
      <c r="AO443" t="n">
        <v>0</v>
      </c>
      <c r="AP443" t="inlineStr">
        <is>
          <t>No</t>
        </is>
      </c>
      <c r="AQ443" t="inlineStr">
        <is>
          <t>Yes</t>
        </is>
      </c>
      <c r="AR443">
        <f>HYPERLINK("http://catalog.hathitrust.org/Record/000091803","HathiTrust Record")</f>
        <v/>
      </c>
      <c r="AS443">
        <f>HYPERLINK("https://creighton-primo.hosted.exlibrisgroup.com/primo-explore/search?tab=default_tab&amp;search_scope=EVERYTHING&amp;vid=01CRU&amp;lang=en_US&amp;offset=0&amp;query=any,contains,991004477979702656","Catalog Record")</f>
        <v/>
      </c>
      <c r="AT443">
        <f>HYPERLINK("http://www.worldcat.org/oclc/3615007","WorldCat Record")</f>
        <v/>
      </c>
      <c r="AU443" t="inlineStr">
        <is>
          <t>350716575:eng</t>
        </is>
      </c>
      <c r="AV443" t="inlineStr">
        <is>
          <t>3615007</t>
        </is>
      </c>
      <c r="AW443" t="inlineStr">
        <is>
          <t>991004477979702656</t>
        </is>
      </c>
      <c r="AX443" t="inlineStr">
        <is>
          <t>991004477979702656</t>
        </is>
      </c>
      <c r="AY443" t="inlineStr">
        <is>
          <t>2266492180002656</t>
        </is>
      </c>
      <c r="AZ443" t="inlineStr">
        <is>
          <t>BOOK</t>
        </is>
      </c>
      <c r="BB443" t="inlineStr">
        <is>
          <t>9780875893563</t>
        </is>
      </c>
      <c r="BC443" t="inlineStr">
        <is>
          <t>32285000131572</t>
        </is>
      </c>
      <c r="BD443" t="inlineStr">
        <is>
          <t>893700293</t>
        </is>
      </c>
    </row>
    <row r="444">
      <c r="A444" t="inlineStr">
        <is>
          <t>No</t>
        </is>
      </c>
      <c r="B444" t="inlineStr">
        <is>
          <t>BF353 .B44</t>
        </is>
      </c>
      <c r="C444" t="inlineStr">
        <is>
          <t>0                      BF 0353000B  44</t>
        </is>
      </c>
      <c r="D444" t="inlineStr">
        <is>
          <t>Environmental psychology / Paul A. Bell, Jeffrey D. Fisher, Ross J. Loomis.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Bell, Paul A.</t>
        </is>
      </c>
      <c r="L444" t="inlineStr">
        <is>
          <t>Philadelphia : Saunders, 1978.</t>
        </is>
      </c>
      <c r="M444" t="inlineStr">
        <is>
          <t>1978</t>
        </is>
      </c>
      <c r="O444" t="inlineStr">
        <is>
          <t>eng</t>
        </is>
      </c>
      <c r="P444" t="inlineStr">
        <is>
          <t>pau</t>
        </is>
      </c>
      <c r="R444" t="inlineStr">
        <is>
          <t xml:space="preserve">BF </t>
        </is>
      </c>
      <c r="S444" t="n">
        <v>3</v>
      </c>
      <c r="T444" t="n">
        <v>3</v>
      </c>
      <c r="U444" t="inlineStr">
        <is>
          <t>2003-04-10</t>
        </is>
      </c>
      <c r="V444" t="inlineStr">
        <is>
          <t>2003-04-10</t>
        </is>
      </c>
      <c r="W444" t="inlineStr">
        <is>
          <t>1994-10-24</t>
        </is>
      </c>
      <c r="X444" t="inlineStr">
        <is>
          <t>1994-10-24</t>
        </is>
      </c>
      <c r="Y444" t="n">
        <v>251</v>
      </c>
      <c r="Z444" t="n">
        <v>150</v>
      </c>
      <c r="AA444" t="n">
        <v>391</v>
      </c>
      <c r="AB444" t="n">
        <v>2</v>
      </c>
      <c r="AC444" t="n">
        <v>2</v>
      </c>
      <c r="AD444" t="n">
        <v>9</v>
      </c>
      <c r="AE444" t="n">
        <v>17</v>
      </c>
      <c r="AF444" t="n">
        <v>2</v>
      </c>
      <c r="AG444" t="n">
        <v>7</v>
      </c>
      <c r="AH444" t="n">
        <v>2</v>
      </c>
      <c r="AI444" t="n">
        <v>4</v>
      </c>
      <c r="AJ444" t="n">
        <v>6</v>
      </c>
      <c r="AK444" t="n">
        <v>10</v>
      </c>
      <c r="AL444" t="n">
        <v>1</v>
      </c>
      <c r="AM444" t="n">
        <v>1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HYPERLINK("http://catalog.hathitrust.org/Record/000269486","HathiTrust Record")</f>
        <v/>
      </c>
      <c r="AS444">
        <f>HYPERLINK("https://creighton-primo.hosted.exlibrisgroup.com/primo-explore/search?tab=default_tab&amp;search_scope=EVERYTHING&amp;vid=01CRU&amp;lang=en_US&amp;offset=0&amp;query=any,contains,991004581339702656","Catalog Record")</f>
        <v/>
      </c>
      <c r="AT444">
        <f>HYPERLINK("http://www.worldcat.org/oclc/4060856","WorldCat Record")</f>
        <v/>
      </c>
      <c r="AU444" t="inlineStr">
        <is>
          <t>747452:eng</t>
        </is>
      </c>
      <c r="AV444" t="inlineStr">
        <is>
          <t>4060856</t>
        </is>
      </c>
      <c r="AW444" t="inlineStr">
        <is>
          <t>991004581339702656</t>
        </is>
      </c>
      <c r="AX444" t="inlineStr">
        <is>
          <t>991004581339702656</t>
        </is>
      </c>
      <c r="AY444" t="inlineStr">
        <is>
          <t>2262768820002656</t>
        </is>
      </c>
      <c r="AZ444" t="inlineStr">
        <is>
          <t>BOOK</t>
        </is>
      </c>
      <c r="BB444" t="inlineStr">
        <is>
          <t>9780721617060</t>
        </is>
      </c>
      <c r="BC444" t="inlineStr">
        <is>
          <t>32285001962710</t>
        </is>
      </c>
      <c r="BD444" t="inlineStr">
        <is>
          <t>893423971</t>
        </is>
      </c>
    </row>
    <row r="445">
      <c r="A445" t="inlineStr">
        <is>
          <t>No</t>
        </is>
      </c>
      <c r="B445" t="inlineStr">
        <is>
          <t>BF353 .C36 1976</t>
        </is>
      </c>
      <c r="C445" t="inlineStr">
        <is>
          <t>0                      BF 0353000C  36          1976</t>
        </is>
      </c>
      <c r="D445" t="inlineStr">
        <is>
          <t>Environmental interaction : psychological approaches to our physical surroundings / by David Canter, Peter Stringer, with Ian Griffiths ... [et al.].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Canter, David V.</t>
        </is>
      </c>
      <c r="L445" t="inlineStr">
        <is>
          <t>New York : International Universities Press, 1976, c1975.</t>
        </is>
      </c>
      <c r="M445" t="inlineStr">
        <is>
          <t>1976</t>
        </is>
      </c>
      <c r="N445" t="inlineStr">
        <is>
          <t>1st American ed.</t>
        </is>
      </c>
      <c r="O445" t="inlineStr">
        <is>
          <t>eng</t>
        </is>
      </c>
      <c r="P445" t="inlineStr">
        <is>
          <t>nyu</t>
        </is>
      </c>
      <c r="R445" t="inlineStr">
        <is>
          <t xml:space="preserve">BF </t>
        </is>
      </c>
      <c r="S445" t="n">
        <v>3</v>
      </c>
      <c r="T445" t="n">
        <v>3</v>
      </c>
      <c r="U445" t="inlineStr">
        <is>
          <t>2008-02-12</t>
        </is>
      </c>
      <c r="V445" t="inlineStr">
        <is>
          <t>2008-02-12</t>
        </is>
      </c>
      <c r="W445" t="inlineStr">
        <is>
          <t>1996-07-26</t>
        </is>
      </c>
      <c r="X445" t="inlineStr">
        <is>
          <t>1996-07-26</t>
        </is>
      </c>
      <c r="Y445" t="n">
        <v>326</v>
      </c>
      <c r="Z445" t="n">
        <v>291</v>
      </c>
      <c r="AA445" t="n">
        <v>333</v>
      </c>
      <c r="AB445" t="n">
        <v>2</v>
      </c>
      <c r="AC445" t="n">
        <v>2</v>
      </c>
      <c r="AD445" t="n">
        <v>11</v>
      </c>
      <c r="AE445" t="n">
        <v>13</v>
      </c>
      <c r="AF445" t="n">
        <v>5</v>
      </c>
      <c r="AG445" t="n">
        <v>5</v>
      </c>
      <c r="AH445" t="n">
        <v>2</v>
      </c>
      <c r="AI445" t="n">
        <v>2</v>
      </c>
      <c r="AJ445" t="n">
        <v>4</v>
      </c>
      <c r="AK445" t="n">
        <v>6</v>
      </c>
      <c r="AL445" t="n">
        <v>1</v>
      </c>
      <c r="AM445" t="n">
        <v>1</v>
      </c>
      <c r="AN445" t="n">
        <v>0</v>
      </c>
      <c r="AO445" t="n">
        <v>0</v>
      </c>
      <c r="AP445" t="inlineStr">
        <is>
          <t>No</t>
        </is>
      </c>
      <c r="AQ445" t="inlineStr">
        <is>
          <t>Yes</t>
        </is>
      </c>
      <c r="AR445">
        <f>HYPERLINK("http://catalog.hathitrust.org/Record/000741084","HathiTrust Record")</f>
        <v/>
      </c>
      <c r="AS445">
        <f>HYPERLINK("https://creighton-primo.hosted.exlibrisgroup.com/primo-explore/search?tab=default_tab&amp;search_scope=EVERYTHING&amp;vid=01CRU&amp;lang=en_US&amp;offset=0&amp;query=any,contains,991004097349702656","Catalog Record")</f>
        <v/>
      </c>
      <c r="AT445">
        <f>HYPERLINK("http://www.worldcat.org/oclc/2362305","WorldCat Record")</f>
        <v/>
      </c>
      <c r="AU445" t="inlineStr">
        <is>
          <t>489239:eng</t>
        </is>
      </c>
      <c r="AV445" t="inlineStr">
        <is>
          <t>2362305</t>
        </is>
      </c>
      <c r="AW445" t="inlineStr">
        <is>
          <t>991004097349702656</t>
        </is>
      </c>
      <c r="AX445" t="inlineStr">
        <is>
          <t>991004097349702656</t>
        </is>
      </c>
      <c r="AY445" t="inlineStr">
        <is>
          <t>2269753080002656</t>
        </is>
      </c>
      <c r="AZ445" t="inlineStr">
        <is>
          <t>BOOK</t>
        </is>
      </c>
      <c r="BB445" t="inlineStr">
        <is>
          <t>9780823616855</t>
        </is>
      </c>
      <c r="BC445" t="inlineStr">
        <is>
          <t>32285002247368</t>
        </is>
      </c>
      <c r="BD445" t="inlineStr">
        <is>
          <t>893235055</t>
        </is>
      </c>
    </row>
    <row r="446">
      <c r="A446" t="inlineStr">
        <is>
          <t>No</t>
        </is>
      </c>
      <c r="B446" t="inlineStr">
        <is>
          <t>BF353 .C65 1991</t>
        </is>
      </c>
      <c r="C446" t="inlineStr">
        <is>
          <t>0                      BF 0353000C  65          1991</t>
        </is>
      </c>
      <c r="D446" t="inlineStr">
        <is>
          <t>Conceptualization and measurement of organism-environment interaction / edited by Theodore D. Wachs and Robert Plomin.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L446" t="inlineStr">
        <is>
          <t>Washington, DC : American Psychological Association, c1991.</t>
        </is>
      </c>
      <c r="M446" t="inlineStr">
        <is>
          <t>1991</t>
        </is>
      </c>
      <c r="N446" t="inlineStr">
        <is>
          <t>1st ed.</t>
        </is>
      </c>
      <c r="O446" t="inlineStr">
        <is>
          <t>eng</t>
        </is>
      </c>
      <c r="P446" t="inlineStr">
        <is>
          <t>dcu</t>
        </is>
      </c>
      <c r="R446" t="inlineStr">
        <is>
          <t xml:space="preserve">BF </t>
        </is>
      </c>
      <c r="S446" t="n">
        <v>4</v>
      </c>
      <c r="T446" t="n">
        <v>4</v>
      </c>
      <c r="U446" t="inlineStr">
        <is>
          <t>2003-04-10</t>
        </is>
      </c>
      <c r="V446" t="inlineStr">
        <is>
          <t>2003-04-10</t>
        </is>
      </c>
      <c r="W446" t="inlineStr">
        <is>
          <t>1992-10-19</t>
        </is>
      </c>
      <c r="X446" t="inlineStr">
        <is>
          <t>1992-10-19</t>
        </is>
      </c>
      <c r="Y446" t="n">
        <v>297</v>
      </c>
      <c r="Z446" t="n">
        <v>202</v>
      </c>
      <c r="AA446" t="n">
        <v>281</v>
      </c>
      <c r="AB446" t="n">
        <v>3</v>
      </c>
      <c r="AC446" t="n">
        <v>4</v>
      </c>
      <c r="AD446" t="n">
        <v>16</v>
      </c>
      <c r="AE446" t="n">
        <v>19</v>
      </c>
      <c r="AF446" t="n">
        <v>5</v>
      </c>
      <c r="AG446" t="n">
        <v>6</v>
      </c>
      <c r="AH446" t="n">
        <v>4</v>
      </c>
      <c r="AI446" t="n">
        <v>4</v>
      </c>
      <c r="AJ446" t="n">
        <v>10</v>
      </c>
      <c r="AK446" t="n">
        <v>11</v>
      </c>
      <c r="AL446" t="n">
        <v>2</v>
      </c>
      <c r="AM446" t="n">
        <v>3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HYPERLINK("https://creighton-primo.hosted.exlibrisgroup.com/primo-explore/search?tab=default_tab&amp;search_scope=EVERYTHING&amp;vid=01CRU&amp;lang=en_US&amp;offset=0&amp;query=any,contains,991001887609702656","Catalog Record")</f>
        <v/>
      </c>
      <c r="AT446">
        <f>HYPERLINK("http://www.worldcat.org/oclc/23768863","WorldCat Record")</f>
        <v/>
      </c>
      <c r="AU446" t="inlineStr">
        <is>
          <t>351827882:eng</t>
        </is>
      </c>
      <c r="AV446" t="inlineStr">
        <is>
          <t>23768863</t>
        </is>
      </c>
      <c r="AW446" t="inlineStr">
        <is>
          <t>991001887609702656</t>
        </is>
      </c>
      <c r="AX446" t="inlineStr">
        <is>
          <t>991001887609702656</t>
        </is>
      </c>
      <c r="AY446" t="inlineStr">
        <is>
          <t>2272237230002656</t>
        </is>
      </c>
      <c r="AZ446" t="inlineStr">
        <is>
          <t>BOOK</t>
        </is>
      </c>
      <c r="BB446" t="inlineStr">
        <is>
          <t>9781557981264</t>
        </is>
      </c>
      <c r="BC446" t="inlineStr">
        <is>
          <t>32285001318699</t>
        </is>
      </c>
      <c r="BD446" t="inlineStr">
        <is>
          <t>893433203</t>
        </is>
      </c>
    </row>
    <row r="447">
      <c r="A447" t="inlineStr">
        <is>
          <t>No</t>
        </is>
      </c>
      <c r="B447" t="inlineStr">
        <is>
          <t>BF353 .C67</t>
        </is>
      </c>
      <c r="C447" t="inlineStr">
        <is>
          <t>0                      BF 0353000C  67</t>
        </is>
      </c>
      <c r="D447" t="inlineStr">
        <is>
          <t>Environmental assessment and design : a new tool for the applied behavioral scientist / Robert K. Conyne, R. James Clack.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Conyne, Robert K.</t>
        </is>
      </c>
      <c r="L447" t="inlineStr">
        <is>
          <t>New York, N.Y. : Praeger, 1981.</t>
        </is>
      </c>
      <c r="M447" t="inlineStr">
        <is>
          <t>1981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BF </t>
        </is>
      </c>
      <c r="S447" t="n">
        <v>3</v>
      </c>
      <c r="T447" t="n">
        <v>3</v>
      </c>
      <c r="U447" t="inlineStr">
        <is>
          <t>2005-05-18</t>
        </is>
      </c>
      <c r="V447" t="inlineStr">
        <is>
          <t>2005-05-18</t>
        </is>
      </c>
      <c r="W447" t="inlineStr">
        <is>
          <t>1994-10-24</t>
        </is>
      </c>
      <c r="X447" t="inlineStr">
        <is>
          <t>1994-10-24</t>
        </is>
      </c>
      <c r="Y447" t="n">
        <v>309</v>
      </c>
      <c r="Z447" t="n">
        <v>246</v>
      </c>
      <c r="AA447" t="n">
        <v>248</v>
      </c>
      <c r="AB447" t="n">
        <v>4</v>
      </c>
      <c r="AC447" t="n">
        <v>4</v>
      </c>
      <c r="AD447" t="n">
        <v>10</v>
      </c>
      <c r="AE447" t="n">
        <v>10</v>
      </c>
      <c r="AF447" t="n">
        <v>3</v>
      </c>
      <c r="AG447" t="n">
        <v>3</v>
      </c>
      <c r="AH447" t="n">
        <v>2</v>
      </c>
      <c r="AI447" t="n">
        <v>2</v>
      </c>
      <c r="AJ447" t="n">
        <v>3</v>
      </c>
      <c r="AK447" t="n">
        <v>3</v>
      </c>
      <c r="AL447" t="n">
        <v>3</v>
      </c>
      <c r="AM447" t="n">
        <v>3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HYPERLINK("http://catalog.hathitrust.org/Record/000098416","HathiTrust Record")</f>
        <v/>
      </c>
      <c r="AS447">
        <f>HYPERLINK("https://creighton-primo.hosted.exlibrisgroup.com/primo-explore/search?tab=default_tab&amp;search_scope=EVERYTHING&amp;vid=01CRU&amp;lang=en_US&amp;offset=0&amp;query=any,contains,991005049379702656","Catalog Record")</f>
        <v/>
      </c>
      <c r="AT447">
        <f>HYPERLINK("http://www.worldcat.org/oclc/6863294","WorldCat Record")</f>
        <v/>
      </c>
      <c r="AU447" t="inlineStr">
        <is>
          <t>198130543:eng</t>
        </is>
      </c>
      <c r="AV447" t="inlineStr">
        <is>
          <t>6863294</t>
        </is>
      </c>
      <c r="AW447" t="inlineStr">
        <is>
          <t>991005049379702656</t>
        </is>
      </c>
      <c r="AX447" t="inlineStr">
        <is>
          <t>991005049379702656</t>
        </is>
      </c>
      <c r="AY447" t="inlineStr">
        <is>
          <t>2271971720002656</t>
        </is>
      </c>
      <c r="AZ447" t="inlineStr">
        <is>
          <t>BOOK</t>
        </is>
      </c>
      <c r="BB447" t="inlineStr">
        <is>
          <t>9780030579486</t>
        </is>
      </c>
      <c r="BC447" t="inlineStr">
        <is>
          <t>32285001962728</t>
        </is>
      </c>
      <c r="BD447" t="inlineStr">
        <is>
          <t>893870437</t>
        </is>
      </c>
    </row>
    <row r="448">
      <c r="A448" t="inlineStr">
        <is>
          <t>No</t>
        </is>
      </c>
      <c r="B448" t="inlineStr">
        <is>
          <t>BF353 .D37</t>
        </is>
      </c>
      <c r="C448" t="inlineStr">
        <is>
          <t>0                      BF 0353000D  37</t>
        </is>
      </c>
      <c r="D448" t="inlineStr">
        <is>
          <t>Learning environments / Thomas G. David, Benjamin D. Wright.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David, Thomas G., 1949-</t>
        </is>
      </c>
      <c r="L448" t="inlineStr">
        <is>
          <t>Chicago : University of Chicago Press, 1975.</t>
        </is>
      </c>
      <c r="M448" t="inlineStr">
        <is>
          <t>1975</t>
        </is>
      </c>
      <c r="O448" t="inlineStr">
        <is>
          <t>eng</t>
        </is>
      </c>
      <c r="P448" t="inlineStr">
        <is>
          <t xml:space="preserve">xx </t>
        </is>
      </c>
      <c r="R448" t="inlineStr">
        <is>
          <t xml:space="preserve">BF </t>
        </is>
      </c>
      <c r="S448" t="n">
        <v>1</v>
      </c>
      <c r="T448" t="n">
        <v>1</v>
      </c>
      <c r="U448" t="inlineStr">
        <is>
          <t>2003-04-10</t>
        </is>
      </c>
      <c r="V448" t="inlineStr">
        <is>
          <t>2003-04-10</t>
        </is>
      </c>
      <c r="W448" t="inlineStr">
        <is>
          <t>1996-07-26</t>
        </is>
      </c>
      <c r="X448" t="inlineStr">
        <is>
          <t>1996-07-26</t>
        </is>
      </c>
      <c r="Y448" t="n">
        <v>350</v>
      </c>
      <c r="Z448" t="n">
        <v>256</v>
      </c>
      <c r="AA448" t="n">
        <v>259</v>
      </c>
      <c r="AB448" t="n">
        <v>2</v>
      </c>
      <c r="AC448" t="n">
        <v>2</v>
      </c>
      <c r="AD448" t="n">
        <v>10</v>
      </c>
      <c r="AE448" t="n">
        <v>10</v>
      </c>
      <c r="AF448" t="n">
        <v>4</v>
      </c>
      <c r="AG448" t="n">
        <v>4</v>
      </c>
      <c r="AH448" t="n">
        <v>3</v>
      </c>
      <c r="AI448" t="n">
        <v>3</v>
      </c>
      <c r="AJ448" t="n">
        <v>4</v>
      </c>
      <c r="AK448" t="n">
        <v>4</v>
      </c>
      <c r="AL448" t="n">
        <v>1</v>
      </c>
      <c r="AM448" t="n">
        <v>1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HYPERLINK("http://catalog.hathitrust.org/Record/000025289","HathiTrust Record")</f>
        <v/>
      </c>
      <c r="AS448">
        <f>HYPERLINK("https://creighton-primo.hosted.exlibrisgroup.com/primo-explore/search?tab=default_tab&amp;search_scope=EVERYTHING&amp;vid=01CRU&amp;lang=en_US&amp;offset=0&amp;query=any,contains,991003846369702656","Catalog Record")</f>
        <v/>
      </c>
      <c r="AT448">
        <f>HYPERLINK("http://www.worldcat.org/oclc/1631424","WorldCat Record")</f>
        <v/>
      </c>
      <c r="AU448" t="inlineStr">
        <is>
          <t>2479574:eng</t>
        </is>
      </c>
      <c r="AV448" t="inlineStr">
        <is>
          <t>1631424</t>
        </is>
      </c>
      <c r="AW448" t="inlineStr">
        <is>
          <t>991003846369702656</t>
        </is>
      </c>
      <c r="AX448" t="inlineStr">
        <is>
          <t>991003846369702656</t>
        </is>
      </c>
      <c r="AY448" t="inlineStr">
        <is>
          <t>2257234030002656</t>
        </is>
      </c>
      <c r="AZ448" t="inlineStr">
        <is>
          <t>BOOK</t>
        </is>
      </c>
      <c r="BB448" t="inlineStr">
        <is>
          <t>9780226137247</t>
        </is>
      </c>
      <c r="BC448" t="inlineStr">
        <is>
          <t>32285002247376</t>
        </is>
      </c>
      <c r="BD448" t="inlineStr">
        <is>
          <t>893445899</t>
        </is>
      </c>
    </row>
    <row r="449">
      <c r="A449" t="inlineStr">
        <is>
          <t>No</t>
        </is>
      </c>
      <c r="B449" t="inlineStr">
        <is>
          <t>BF353 .E56 1982</t>
        </is>
      </c>
      <c r="C449" t="inlineStr">
        <is>
          <t>0                      BF 0353000E  56          1982</t>
        </is>
      </c>
      <c r="D449" t="inlineStr">
        <is>
          <t>Environmental stress / edited by Gary W. Evans.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Cambridge [Cambridgeshire] ; New York : Cambridge University Press, 1982.</t>
        </is>
      </c>
      <c r="M449" t="inlineStr">
        <is>
          <t>1982</t>
        </is>
      </c>
      <c r="O449" t="inlineStr">
        <is>
          <t>eng</t>
        </is>
      </c>
      <c r="P449" t="inlineStr">
        <is>
          <t>enk</t>
        </is>
      </c>
      <c r="R449" t="inlineStr">
        <is>
          <t xml:space="preserve">BF </t>
        </is>
      </c>
      <c r="S449" t="n">
        <v>2</v>
      </c>
      <c r="T449" t="n">
        <v>2</v>
      </c>
      <c r="U449" t="inlineStr">
        <is>
          <t>2008-10-20</t>
        </is>
      </c>
      <c r="V449" t="inlineStr">
        <is>
          <t>2008-10-20</t>
        </is>
      </c>
      <c r="W449" t="inlineStr">
        <is>
          <t>1992-11-10</t>
        </is>
      </c>
      <c r="X449" t="inlineStr">
        <is>
          <t>1992-11-10</t>
        </is>
      </c>
      <c r="Y449" t="n">
        <v>856</v>
      </c>
      <c r="Z449" t="n">
        <v>676</v>
      </c>
      <c r="AA449" t="n">
        <v>706</v>
      </c>
      <c r="AB449" t="n">
        <v>7</v>
      </c>
      <c r="AC449" t="n">
        <v>7</v>
      </c>
      <c r="AD449" t="n">
        <v>35</v>
      </c>
      <c r="AE449" t="n">
        <v>36</v>
      </c>
      <c r="AF449" t="n">
        <v>15</v>
      </c>
      <c r="AG449" t="n">
        <v>16</v>
      </c>
      <c r="AH449" t="n">
        <v>7</v>
      </c>
      <c r="AI449" t="n">
        <v>7</v>
      </c>
      <c r="AJ449" t="n">
        <v>15</v>
      </c>
      <c r="AK449" t="n">
        <v>15</v>
      </c>
      <c r="AL449" t="n">
        <v>6</v>
      </c>
      <c r="AM449" t="n">
        <v>6</v>
      </c>
      <c r="AN449" t="n">
        <v>0</v>
      </c>
      <c r="AO449" t="n">
        <v>0</v>
      </c>
      <c r="AP449" t="inlineStr">
        <is>
          <t>No</t>
        </is>
      </c>
      <c r="AQ449" t="inlineStr">
        <is>
          <t>No</t>
        </is>
      </c>
      <c r="AS449">
        <f>HYPERLINK("https://creighton-primo.hosted.exlibrisgroup.com/primo-explore/search?tab=default_tab&amp;search_scope=EVERYTHING&amp;vid=01CRU&amp;lang=en_US&amp;offset=0&amp;query=any,contains,991005219709702656","Catalog Record")</f>
        <v/>
      </c>
      <c r="AT449">
        <f>HYPERLINK("http://www.worldcat.org/oclc/8219908","WorldCat Record")</f>
        <v/>
      </c>
      <c r="AU449" t="inlineStr">
        <is>
          <t>573643332:eng</t>
        </is>
      </c>
      <c r="AV449" t="inlineStr">
        <is>
          <t>8219908</t>
        </is>
      </c>
      <c r="AW449" t="inlineStr">
        <is>
          <t>991005219709702656</t>
        </is>
      </c>
      <c r="AX449" t="inlineStr">
        <is>
          <t>991005219709702656</t>
        </is>
      </c>
      <c r="AY449" t="inlineStr">
        <is>
          <t>2255733250002656</t>
        </is>
      </c>
      <c r="AZ449" t="inlineStr">
        <is>
          <t>BOOK</t>
        </is>
      </c>
      <c r="BB449" t="inlineStr">
        <is>
          <t>9780521246361</t>
        </is>
      </c>
      <c r="BC449" t="inlineStr">
        <is>
          <t>32285001384469</t>
        </is>
      </c>
      <c r="BD449" t="inlineStr">
        <is>
          <t>893320261</t>
        </is>
      </c>
    </row>
    <row r="450">
      <c r="A450" t="inlineStr">
        <is>
          <t>No</t>
        </is>
      </c>
      <c r="B450" t="inlineStr">
        <is>
          <t>BF353 .F7 1975</t>
        </is>
      </c>
      <c r="C450" t="inlineStr">
        <is>
          <t>0                      BF 0353000F  7           1975</t>
        </is>
      </c>
      <c r="D450" t="inlineStr">
        <is>
          <t>Crowding and behavior / Jonathan L. Freedman.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Freedman, Jonathan L.</t>
        </is>
      </c>
      <c r="L450" t="inlineStr">
        <is>
          <t>New York : Viking Press, 1975.</t>
        </is>
      </c>
      <c r="M450" t="inlineStr">
        <is>
          <t>1975</t>
        </is>
      </c>
      <c r="O450" t="inlineStr">
        <is>
          <t>eng</t>
        </is>
      </c>
      <c r="P450" t="inlineStr">
        <is>
          <t>nyu</t>
        </is>
      </c>
      <c r="R450" t="inlineStr">
        <is>
          <t xml:space="preserve">BF </t>
        </is>
      </c>
      <c r="S450" t="n">
        <v>3</v>
      </c>
      <c r="T450" t="n">
        <v>3</v>
      </c>
      <c r="U450" t="inlineStr">
        <is>
          <t>1995-02-09</t>
        </is>
      </c>
      <c r="V450" t="inlineStr">
        <is>
          <t>1995-02-09</t>
        </is>
      </c>
      <c r="W450" t="inlineStr">
        <is>
          <t>1994-10-25</t>
        </is>
      </c>
      <c r="X450" t="inlineStr">
        <is>
          <t>1994-10-25</t>
        </is>
      </c>
      <c r="Y450" t="n">
        <v>974</v>
      </c>
      <c r="Z450" t="n">
        <v>857</v>
      </c>
      <c r="AA450" t="n">
        <v>1198</v>
      </c>
      <c r="AB450" t="n">
        <v>4</v>
      </c>
      <c r="AC450" t="n">
        <v>7</v>
      </c>
      <c r="AD450" t="n">
        <v>27</v>
      </c>
      <c r="AE450" t="n">
        <v>40</v>
      </c>
      <c r="AF450" t="n">
        <v>10</v>
      </c>
      <c r="AG450" t="n">
        <v>17</v>
      </c>
      <c r="AH450" t="n">
        <v>5</v>
      </c>
      <c r="AI450" t="n">
        <v>8</v>
      </c>
      <c r="AJ450" t="n">
        <v>15</v>
      </c>
      <c r="AK450" t="n">
        <v>19</v>
      </c>
      <c r="AL450" t="n">
        <v>3</v>
      </c>
      <c r="AM450" t="n">
        <v>5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HYPERLINK("http://catalog.hathitrust.org/Record/000035871","HathiTrust Record")</f>
        <v/>
      </c>
      <c r="AS450">
        <f>HYPERLINK("https://creighton-primo.hosted.exlibrisgroup.com/primo-explore/search?tab=default_tab&amp;search_scope=EVERYTHING&amp;vid=01CRU&amp;lang=en_US&amp;offset=0&amp;query=any,contains,991003692669702656","Catalog Record")</f>
        <v/>
      </c>
      <c r="AT450">
        <f>HYPERLINK("http://www.worldcat.org/oclc/1323646","WorldCat Record")</f>
        <v/>
      </c>
      <c r="AU450" t="inlineStr">
        <is>
          <t>2204118:eng</t>
        </is>
      </c>
      <c r="AV450" t="inlineStr">
        <is>
          <t>1323646</t>
        </is>
      </c>
      <c r="AW450" t="inlineStr">
        <is>
          <t>991003692669702656</t>
        </is>
      </c>
      <c r="AX450" t="inlineStr">
        <is>
          <t>991003692669702656</t>
        </is>
      </c>
      <c r="AY450" t="inlineStr">
        <is>
          <t>2255357460002656</t>
        </is>
      </c>
      <c r="AZ450" t="inlineStr">
        <is>
          <t>BOOK</t>
        </is>
      </c>
      <c r="BB450" t="inlineStr">
        <is>
          <t>9780670249824</t>
        </is>
      </c>
      <c r="BC450" t="inlineStr">
        <is>
          <t>32285001963379</t>
        </is>
      </c>
      <c r="BD450" t="inlineStr">
        <is>
          <t>893611329</t>
        </is>
      </c>
    </row>
    <row r="451">
      <c r="A451" t="inlineStr">
        <is>
          <t>No</t>
        </is>
      </c>
      <c r="B451" t="inlineStr">
        <is>
          <t>BF353 .H37 1978</t>
        </is>
      </c>
      <c r="C451" t="inlineStr">
        <is>
          <t>0                      BF 0353000H  37          1978</t>
        </is>
      </c>
      <c r="D451" t="inlineStr">
        <is>
          <t>Environmental psychology / Norman W. Heimstra, Leslie H. McFarling.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Heimstra, Norman W., 1930-</t>
        </is>
      </c>
      <c r="L451" t="inlineStr">
        <is>
          <t>Monterey, Calif. : Brooks/Cole Pub. Co., c1978.</t>
        </is>
      </c>
      <c r="M451" t="inlineStr">
        <is>
          <t>1978</t>
        </is>
      </c>
      <c r="N451" t="inlineStr">
        <is>
          <t>2d ed.</t>
        </is>
      </c>
      <c r="O451" t="inlineStr">
        <is>
          <t>eng</t>
        </is>
      </c>
      <c r="P451" t="inlineStr">
        <is>
          <t>cau</t>
        </is>
      </c>
      <c r="R451" t="inlineStr">
        <is>
          <t xml:space="preserve">BF </t>
        </is>
      </c>
      <c r="S451" t="n">
        <v>4</v>
      </c>
      <c r="T451" t="n">
        <v>4</v>
      </c>
      <c r="U451" t="inlineStr">
        <is>
          <t>2008-02-12</t>
        </is>
      </c>
      <c r="V451" t="inlineStr">
        <is>
          <t>2008-02-12</t>
        </is>
      </c>
      <c r="W451" t="inlineStr">
        <is>
          <t>1990-04-25</t>
        </is>
      </c>
      <c r="X451" t="inlineStr">
        <is>
          <t>1990-04-25</t>
        </is>
      </c>
      <c r="Y451" t="n">
        <v>196</v>
      </c>
      <c r="Z451" t="n">
        <v>135</v>
      </c>
      <c r="AA451" t="n">
        <v>443</v>
      </c>
      <c r="AB451" t="n">
        <v>2</v>
      </c>
      <c r="AC451" t="n">
        <v>4</v>
      </c>
      <c r="AD451" t="n">
        <v>4</v>
      </c>
      <c r="AE451" t="n">
        <v>19</v>
      </c>
      <c r="AF451" t="n">
        <v>1</v>
      </c>
      <c r="AG451" t="n">
        <v>6</v>
      </c>
      <c r="AH451" t="n">
        <v>0</v>
      </c>
      <c r="AI451" t="n">
        <v>4</v>
      </c>
      <c r="AJ451" t="n">
        <v>2</v>
      </c>
      <c r="AK451" t="n">
        <v>10</v>
      </c>
      <c r="AL451" t="n">
        <v>1</v>
      </c>
      <c r="AM451" t="n">
        <v>3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HYPERLINK("http://catalog.hathitrust.org/Record/007118434","HathiTrust Record")</f>
        <v/>
      </c>
      <c r="AS451">
        <f>HYPERLINK("https://creighton-primo.hosted.exlibrisgroup.com/primo-explore/search?tab=default_tab&amp;search_scope=EVERYTHING&amp;vid=01CRU&amp;lang=en_US&amp;offset=0&amp;query=any,contains,991004480569702656","Catalog Record")</f>
        <v/>
      </c>
      <c r="AT451">
        <f>HYPERLINK("http://www.worldcat.org/oclc/3627298","WorldCat Record")</f>
        <v/>
      </c>
      <c r="AU451" t="inlineStr">
        <is>
          <t>2063332:eng</t>
        </is>
      </c>
      <c r="AV451" t="inlineStr">
        <is>
          <t>3627298</t>
        </is>
      </c>
      <c r="AW451" t="inlineStr">
        <is>
          <t>991004480569702656</t>
        </is>
      </c>
      <c r="AX451" t="inlineStr">
        <is>
          <t>991004480569702656</t>
        </is>
      </c>
      <c r="AY451" t="inlineStr">
        <is>
          <t>2269307580002656</t>
        </is>
      </c>
      <c r="AZ451" t="inlineStr">
        <is>
          <t>BOOK</t>
        </is>
      </c>
      <c r="BB451" t="inlineStr">
        <is>
          <t>9780818502668</t>
        </is>
      </c>
      <c r="BC451" t="inlineStr">
        <is>
          <t>32285000131580</t>
        </is>
      </c>
      <c r="BD451" t="inlineStr">
        <is>
          <t>893904878</t>
        </is>
      </c>
    </row>
    <row r="452">
      <c r="A452" t="inlineStr">
        <is>
          <t>No</t>
        </is>
      </c>
      <c r="B452" t="inlineStr">
        <is>
          <t>BF353 .H85</t>
        </is>
      </c>
      <c r="C452" t="inlineStr">
        <is>
          <t>0                      BF 0353000H  85</t>
        </is>
      </c>
      <c r="D452" t="inlineStr">
        <is>
          <t>Human behavior and environment : advances in theory and research / edited by Irwin Altman and Joachim F. Wohlwill.</t>
        </is>
      </c>
      <c r="E452" t="inlineStr">
        <is>
          <t>V.5</t>
        </is>
      </c>
      <c r="F452" t="inlineStr">
        <is>
          <t>Yes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L452" t="inlineStr">
        <is>
          <t>New York : Plenum Press, c1976-</t>
        </is>
      </c>
      <c r="M452" t="inlineStr">
        <is>
          <t>1976</t>
        </is>
      </c>
      <c r="O452" t="inlineStr">
        <is>
          <t>eng</t>
        </is>
      </c>
      <c r="P452" t="inlineStr">
        <is>
          <t>nyu</t>
        </is>
      </c>
      <c r="R452" t="inlineStr">
        <is>
          <t xml:space="preserve">BF </t>
        </is>
      </c>
      <c r="S452" t="n">
        <v>0</v>
      </c>
      <c r="T452" t="n">
        <v>7</v>
      </c>
      <c r="V452" t="inlineStr">
        <is>
          <t>2008-02-12</t>
        </is>
      </c>
      <c r="W452" t="inlineStr">
        <is>
          <t>1994-10-24</t>
        </is>
      </c>
      <c r="X452" t="inlineStr">
        <is>
          <t>1994-10-24</t>
        </is>
      </c>
      <c r="Y452" t="n">
        <v>393</v>
      </c>
      <c r="Z452" t="n">
        <v>296</v>
      </c>
      <c r="AA452" t="n">
        <v>370</v>
      </c>
      <c r="AB452" t="n">
        <v>5</v>
      </c>
      <c r="AC452" t="n">
        <v>5</v>
      </c>
      <c r="AD452" t="n">
        <v>13</v>
      </c>
      <c r="AE452" t="n">
        <v>16</v>
      </c>
      <c r="AF452" t="n">
        <v>2</v>
      </c>
      <c r="AG452" t="n">
        <v>3</v>
      </c>
      <c r="AH452" t="n">
        <v>1</v>
      </c>
      <c r="AI452" t="n">
        <v>2</v>
      </c>
      <c r="AJ452" t="n">
        <v>7</v>
      </c>
      <c r="AK452" t="n">
        <v>9</v>
      </c>
      <c r="AL452" t="n">
        <v>4</v>
      </c>
      <c r="AM452" t="n">
        <v>4</v>
      </c>
      <c r="AN452" t="n">
        <v>0</v>
      </c>
      <c r="AO452" t="n">
        <v>0</v>
      </c>
      <c r="AP452" t="inlineStr">
        <is>
          <t>No</t>
        </is>
      </c>
      <c r="AQ452" t="inlineStr">
        <is>
          <t>Yes</t>
        </is>
      </c>
      <c r="AR452">
        <f>HYPERLINK("http://catalog.hathitrust.org/Record/004444685","HathiTrust Record")</f>
        <v/>
      </c>
      <c r="AS452">
        <f>HYPERLINK("https://creighton-primo.hosted.exlibrisgroup.com/primo-explore/search?tab=default_tab&amp;search_scope=EVERYTHING&amp;vid=01CRU&amp;lang=en_US&amp;offset=0&amp;query=any,contains,991004187079702656","Catalog Record")</f>
        <v/>
      </c>
      <c r="AT452">
        <f>HYPERLINK("http://www.worldcat.org/oclc/2617337","WorldCat Record")</f>
        <v/>
      </c>
      <c r="AU452" t="inlineStr">
        <is>
          <t>794339578:eng</t>
        </is>
      </c>
      <c r="AV452" t="inlineStr">
        <is>
          <t>2617337</t>
        </is>
      </c>
      <c r="AW452" t="inlineStr">
        <is>
          <t>991004187079702656</t>
        </is>
      </c>
      <c r="AX452" t="inlineStr">
        <is>
          <t>991004187079702656</t>
        </is>
      </c>
      <c r="AY452" t="inlineStr">
        <is>
          <t>2267698760002656</t>
        </is>
      </c>
      <c r="AZ452" t="inlineStr">
        <is>
          <t>BOOK</t>
        </is>
      </c>
      <c r="BB452" t="inlineStr">
        <is>
          <t>9780306333019</t>
        </is>
      </c>
      <c r="BC452" t="inlineStr">
        <is>
          <t>32285001962751</t>
        </is>
      </c>
      <c r="BD452" t="inlineStr">
        <is>
          <t>893532095</t>
        </is>
      </c>
    </row>
    <row r="453">
      <c r="A453" t="inlineStr">
        <is>
          <t>No</t>
        </is>
      </c>
      <c r="B453" t="inlineStr">
        <is>
          <t>BF353 .H85</t>
        </is>
      </c>
      <c r="C453" t="inlineStr">
        <is>
          <t>0                      BF 0353000H  85</t>
        </is>
      </c>
      <c r="D453" t="inlineStr">
        <is>
          <t>Human behavior and environment : advances in theory and research / edited by Irwin Altman and Joachim F. Wohlwill.</t>
        </is>
      </c>
      <c r="E453" t="inlineStr">
        <is>
          <t>V.2</t>
        </is>
      </c>
      <c r="F453" t="inlineStr">
        <is>
          <t>Yes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New York : Plenum Press, c1976-</t>
        </is>
      </c>
      <c r="M453" t="inlineStr">
        <is>
          <t>1976</t>
        </is>
      </c>
      <c r="O453" t="inlineStr">
        <is>
          <t>eng</t>
        </is>
      </c>
      <c r="P453" t="inlineStr">
        <is>
          <t>nyu</t>
        </is>
      </c>
      <c r="R453" t="inlineStr">
        <is>
          <t xml:space="preserve">BF </t>
        </is>
      </c>
      <c r="S453" t="n">
        <v>7</v>
      </c>
      <c r="T453" t="n">
        <v>7</v>
      </c>
      <c r="U453" t="inlineStr">
        <is>
          <t>2008-02-12</t>
        </is>
      </c>
      <c r="V453" t="inlineStr">
        <is>
          <t>2008-02-12</t>
        </is>
      </c>
      <c r="W453" t="inlineStr">
        <is>
          <t>1994-10-24</t>
        </is>
      </c>
      <c r="X453" t="inlineStr">
        <is>
          <t>1994-10-24</t>
        </is>
      </c>
      <c r="Y453" t="n">
        <v>393</v>
      </c>
      <c r="Z453" t="n">
        <v>296</v>
      </c>
      <c r="AA453" t="n">
        <v>370</v>
      </c>
      <c r="AB453" t="n">
        <v>5</v>
      </c>
      <c r="AC453" t="n">
        <v>5</v>
      </c>
      <c r="AD453" t="n">
        <v>13</v>
      </c>
      <c r="AE453" t="n">
        <v>16</v>
      </c>
      <c r="AF453" t="n">
        <v>2</v>
      </c>
      <c r="AG453" t="n">
        <v>3</v>
      </c>
      <c r="AH453" t="n">
        <v>1</v>
      </c>
      <c r="AI453" t="n">
        <v>2</v>
      </c>
      <c r="AJ453" t="n">
        <v>7</v>
      </c>
      <c r="AK453" t="n">
        <v>9</v>
      </c>
      <c r="AL453" t="n">
        <v>4</v>
      </c>
      <c r="AM453" t="n">
        <v>4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HYPERLINK("http://catalog.hathitrust.org/Record/004444685","HathiTrust Record")</f>
        <v/>
      </c>
      <c r="AS453">
        <f>HYPERLINK("https://creighton-primo.hosted.exlibrisgroup.com/primo-explore/search?tab=default_tab&amp;search_scope=EVERYTHING&amp;vid=01CRU&amp;lang=en_US&amp;offset=0&amp;query=any,contains,991004187079702656","Catalog Record")</f>
        <v/>
      </c>
      <c r="AT453">
        <f>HYPERLINK("http://www.worldcat.org/oclc/2617337","WorldCat Record")</f>
        <v/>
      </c>
      <c r="AU453" t="inlineStr">
        <is>
          <t>794339578:eng</t>
        </is>
      </c>
      <c r="AV453" t="inlineStr">
        <is>
          <t>2617337</t>
        </is>
      </c>
      <c r="AW453" t="inlineStr">
        <is>
          <t>991004187079702656</t>
        </is>
      </c>
      <c r="AX453" t="inlineStr">
        <is>
          <t>991004187079702656</t>
        </is>
      </c>
      <c r="AY453" t="inlineStr">
        <is>
          <t>2267698760002656</t>
        </is>
      </c>
      <c r="AZ453" t="inlineStr">
        <is>
          <t>BOOK</t>
        </is>
      </c>
      <c r="BB453" t="inlineStr">
        <is>
          <t>9780306333019</t>
        </is>
      </c>
      <c r="BC453" t="inlineStr">
        <is>
          <t>32285001962744</t>
        </is>
      </c>
      <c r="BD453" t="inlineStr">
        <is>
          <t>893500239</t>
        </is>
      </c>
    </row>
    <row r="454">
      <c r="A454" t="inlineStr">
        <is>
          <t>No</t>
        </is>
      </c>
      <c r="B454" t="inlineStr">
        <is>
          <t>BF353 .H855</t>
        </is>
      </c>
      <c r="C454" t="inlineStr">
        <is>
          <t>0                      BF 0353000H  855</t>
        </is>
      </c>
      <c r="D454" t="inlineStr">
        <is>
          <t>Human response to crowding / edited by Andrew Baum, Yakov M. Epstein.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Hillsdale, N.J. : L. Erlbaum Associates ; New York : distributed by Halsted Press, 1978.</t>
        </is>
      </c>
      <c r="M454" t="inlineStr">
        <is>
          <t>1978</t>
        </is>
      </c>
      <c r="O454" t="inlineStr">
        <is>
          <t>eng</t>
        </is>
      </c>
      <c r="P454" t="inlineStr">
        <is>
          <t>nju</t>
        </is>
      </c>
      <c r="R454" t="inlineStr">
        <is>
          <t xml:space="preserve">BF </t>
        </is>
      </c>
      <c r="S454" t="n">
        <v>5</v>
      </c>
      <c r="T454" t="n">
        <v>5</v>
      </c>
      <c r="U454" t="inlineStr">
        <is>
          <t>1995-02-09</t>
        </is>
      </c>
      <c r="V454" t="inlineStr">
        <is>
          <t>1995-02-09</t>
        </is>
      </c>
      <c r="W454" t="inlineStr">
        <is>
          <t>1992-04-01</t>
        </is>
      </c>
      <c r="X454" t="inlineStr">
        <is>
          <t>1992-04-01</t>
        </is>
      </c>
      <c r="Y454" t="n">
        <v>628</v>
      </c>
      <c r="Z454" t="n">
        <v>493</v>
      </c>
      <c r="AA454" t="n">
        <v>500</v>
      </c>
      <c r="AB454" t="n">
        <v>4</v>
      </c>
      <c r="AC454" t="n">
        <v>4</v>
      </c>
      <c r="AD454" t="n">
        <v>22</v>
      </c>
      <c r="AE454" t="n">
        <v>22</v>
      </c>
      <c r="AF454" t="n">
        <v>8</v>
      </c>
      <c r="AG454" t="n">
        <v>8</v>
      </c>
      <c r="AH454" t="n">
        <v>5</v>
      </c>
      <c r="AI454" t="n">
        <v>5</v>
      </c>
      <c r="AJ454" t="n">
        <v>11</v>
      </c>
      <c r="AK454" t="n">
        <v>11</v>
      </c>
      <c r="AL454" t="n">
        <v>3</v>
      </c>
      <c r="AM454" t="n">
        <v>3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HYPERLINK("http://catalog.hathitrust.org/Record/000135309","HathiTrust Record")</f>
        <v/>
      </c>
      <c r="AS454">
        <f>HYPERLINK("https://creighton-primo.hosted.exlibrisgroup.com/primo-explore/search?tab=default_tab&amp;search_scope=EVERYTHING&amp;vid=01CRU&amp;lang=en_US&amp;offset=0&amp;query=any,contains,991004526779702656","Catalog Record")</f>
        <v/>
      </c>
      <c r="AT454">
        <f>HYPERLINK("http://www.worldcat.org/oclc/3843755","WorldCat Record")</f>
        <v/>
      </c>
      <c r="AU454" t="inlineStr">
        <is>
          <t>356035257:eng</t>
        </is>
      </c>
      <c r="AV454" t="inlineStr">
        <is>
          <t>3843755</t>
        </is>
      </c>
      <c r="AW454" t="inlineStr">
        <is>
          <t>991004526779702656</t>
        </is>
      </c>
      <c r="AX454" t="inlineStr">
        <is>
          <t>991004526779702656</t>
        </is>
      </c>
      <c r="AY454" t="inlineStr">
        <is>
          <t>2264927210002656</t>
        </is>
      </c>
      <c r="AZ454" t="inlineStr">
        <is>
          <t>BOOK</t>
        </is>
      </c>
      <c r="BB454" t="inlineStr">
        <is>
          <t>9780470263747</t>
        </is>
      </c>
      <c r="BC454" t="inlineStr">
        <is>
          <t>32285001031524</t>
        </is>
      </c>
      <c r="BD454" t="inlineStr">
        <is>
          <t>893247683</t>
        </is>
      </c>
    </row>
    <row r="455">
      <c r="A455" t="inlineStr">
        <is>
          <t>No</t>
        </is>
      </c>
      <c r="B455" t="inlineStr">
        <is>
          <t>BF353 .I5</t>
        </is>
      </c>
      <c r="C455" t="inlineStr">
        <is>
          <t>0                      BF 0353000I  5</t>
        </is>
      </c>
      <c r="D455" t="inlineStr">
        <is>
          <t>An Introduction to environmental psychology [by] William H. Ittelson [and others]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L455" t="inlineStr">
        <is>
          <t>New York, Holt, Rinehart and Winston [1974]</t>
        </is>
      </c>
      <c r="M455" t="inlineStr">
        <is>
          <t>1974</t>
        </is>
      </c>
      <c r="O455" t="inlineStr">
        <is>
          <t>eng</t>
        </is>
      </c>
      <c r="P455" t="inlineStr">
        <is>
          <t>nyu</t>
        </is>
      </c>
      <c r="R455" t="inlineStr">
        <is>
          <t xml:space="preserve">BF </t>
        </is>
      </c>
      <c r="S455" t="n">
        <v>1</v>
      </c>
      <c r="T455" t="n">
        <v>1</v>
      </c>
      <c r="U455" t="inlineStr">
        <is>
          <t>2002-11-18</t>
        </is>
      </c>
      <c r="V455" t="inlineStr">
        <is>
          <t>2002-11-18</t>
        </is>
      </c>
      <c r="W455" t="inlineStr">
        <is>
          <t>1996-07-26</t>
        </is>
      </c>
      <c r="X455" t="inlineStr">
        <is>
          <t>1996-07-26</t>
        </is>
      </c>
      <c r="Y455" t="n">
        <v>616</v>
      </c>
      <c r="Z455" t="n">
        <v>441</v>
      </c>
      <c r="AA455" t="n">
        <v>443</v>
      </c>
      <c r="AB455" t="n">
        <v>4</v>
      </c>
      <c r="AC455" t="n">
        <v>4</v>
      </c>
      <c r="AD455" t="n">
        <v>20</v>
      </c>
      <c r="AE455" t="n">
        <v>20</v>
      </c>
      <c r="AF455" t="n">
        <v>6</v>
      </c>
      <c r="AG455" t="n">
        <v>6</v>
      </c>
      <c r="AH455" t="n">
        <v>4</v>
      </c>
      <c r="AI455" t="n">
        <v>4</v>
      </c>
      <c r="AJ455" t="n">
        <v>11</v>
      </c>
      <c r="AK455" t="n">
        <v>11</v>
      </c>
      <c r="AL455" t="n">
        <v>3</v>
      </c>
      <c r="AM455" t="n">
        <v>3</v>
      </c>
      <c r="AN455" t="n">
        <v>0</v>
      </c>
      <c r="AO455" t="n">
        <v>0</v>
      </c>
      <c r="AP455" t="inlineStr">
        <is>
          <t>No</t>
        </is>
      </c>
      <c r="AQ455" t="inlineStr">
        <is>
          <t>Yes</t>
        </is>
      </c>
      <c r="AR455">
        <f>HYPERLINK("http://catalog.hathitrust.org/Record/000013202","HathiTrust Record")</f>
        <v/>
      </c>
      <c r="AS455">
        <f>HYPERLINK("https://creighton-primo.hosted.exlibrisgroup.com/primo-explore/search?tab=default_tab&amp;search_scope=EVERYTHING&amp;vid=01CRU&amp;lang=en_US&amp;offset=0&amp;query=any,contains,991003328219702656","Catalog Record")</f>
        <v/>
      </c>
      <c r="AT455">
        <f>HYPERLINK("http://www.worldcat.org/oclc/858329","WorldCat Record")</f>
        <v/>
      </c>
      <c r="AU455" t="inlineStr">
        <is>
          <t>3857020931:eng</t>
        </is>
      </c>
      <c r="AV455" t="inlineStr">
        <is>
          <t>858329</t>
        </is>
      </c>
      <c r="AW455" t="inlineStr">
        <is>
          <t>991003328219702656</t>
        </is>
      </c>
      <c r="AX455" t="inlineStr">
        <is>
          <t>991003328219702656</t>
        </is>
      </c>
      <c r="AY455" t="inlineStr">
        <is>
          <t>2267076470002656</t>
        </is>
      </c>
      <c r="AZ455" t="inlineStr">
        <is>
          <t>BOOK</t>
        </is>
      </c>
      <c r="BB455" t="inlineStr">
        <is>
          <t>9780030013461</t>
        </is>
      </c>
      <c r="BC455" t="inlineStr">
        <is>
          <t>32285002247392</t>
        </is>
      </c>
      <c r="BD455" t="inlineStr">
        <is>
          <t>893623379</t>
        </is>
      </c>
    </row>
    <row r="456">
      <c r="A456" t="inlineStr">
        <is>
          <t>No</t>
        </is>
      </c>
      <c r="B456" t="inlineStr">
        <is>
          <t>BF353 .L4813 1982</t>
        </is>
      </c>
      <c r="C456" t="inlineStr">
        <is>
          <t>0                      BF 0353000L  4813        1982</t>
        </is>
      </c>
      <c r="D456" t="inlineStr">
        <is>
          <t>Psychology and environment / Claude Levy-Leboyer ; translated by David Canter and Ian Griffiths.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Lévy-Leboyer, Claude.</t>
        </is>
      </c>
      <c r="L456" t="inlineStr">
        <is>
          <t>Beverly Hills : Sage Publications, c1982.</t>
        </is>
      </c>
      <c r="M456" t="inlineStr">
        <is>
          <t>1982</t>
        </is>
      </c>
      <c r="O456" t="inlineStr">
        <is>
          <t>eng</t>
        </is>
      </c>
      <c r="P456" t="inlineStr">
        <is>
          <t>cau</t>
        </is>
      </c>
      <c r="R456" t="inlineStr">
        <is>
          <t xml:space="preserve">BF </t>
        </is>
      </c>
      <c r="S456" t="n">
        <v>1</v>
      </c>
      <c r="T456" t="n">
        <v>1</v>
      </c>
      <c r="U456" t="inlineStr">
        <is>
          <t>2008-02-05</t>
        </is>
      </c>
      <c r="V456" t="inlineStr">
        <is>
          <t>2008-02-05</t>
        </is>
      </c>
      <c r="W456" t="inlineStr">
        <is>
          <t>1994-10-24</t>
        </is>
      </c>
      <c r="X456" t="inlineStr">
        <is>
          <t>1994-10-24</t>
        </is>
      </c>
      <c r="Y456" t="n">
        <v>525</v>
      </c>
      <c r="Z456" t="n">
        <v>400</v>
      </c>
      <c r="AA456" t="n">
        <v>406</v>
      </c>
      <c r="AB456" t="n">
        <v>4</v>
      </c>
      <c r="AC456" t="n">
        <v>4</v>
      </c>
      <c r="AD456" t="n">
        <v>14</v>
      </c>
      <c r="AE456" t="n">
        <v>14</v>
      </c>
      <c r="AF456" t="n">
        <v>3</v>
      </c>
      <c r="AG456" t="n">
        <v>3</v>
      </c>
      <c r="AH456" t="n">
        <v>4</v>
      </c>
      <c r="AI456" t="n">
        <v>4</v>
      </c>
      <c r="AJ456" t="n">
        <v>6</v>
      </c>
      <c r="AK456" t="n">
        <v>6</v>
      </c>
      <c r="AL456" t="n">
        <v>3</v>
      </c>
      <c r="AM456" t="n">
        <v>3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HYPERLINK("http://catalog.hathitrust.org/Record/000103010","HathiTrust Record")</f>
        <v/>
      </c>
      <c r="AS456">
        <f>HYPERLINK("https://creighton-primo.hosted.exlibrisgroup.com/primo-explore/search?tab=default_tab&amp;search_scope=EVERYTHING&amp;vid=01CRU&amp;lang=en_US&amp;offset=0&amp;query=any,contains,991005195169702656","Catalog Record")</f>
        <v/>
      </c>
      <c r="AT456">
        <f>HYPERLINK("http://www.worldcat.org/oclc/8034644","WorldCat Record")</f>
        <v/>
      </c>
      <c r="AU456" t="inlineStr">
        <is>
          <t>1154415238:eng</t>
        </is>
      </c>
      <c r="AV456" t="inlineStr">
        <is>
          <t>8034644</t>
        </is>
      </c>
      <c r="AW456" t="inlineStr">
        <is>
          <t>991005195169702656</t>
        </is>
      </c>
      <c r="AX456" t="inlineStr">
        <is>
          <t>991005195169702656</t>
        </is>
      </c>
      <c r="AY456" t="inlineStr">
        <is>
          <t>2267579040002656</t>
        </is>
      </c>
      <c r="AZ456" t="inlineStr">
        <is>
          <t>BOOK</t>
        </is>
      </c>
      <c r="BB456" t="inlineStr">
        <is>
          <t>9780803917897</t>
        </is>
      </c>
      <c r="BC456" t="inlineStr">
        <is>
          <t>32285001963361</t>
        </is>
      </c>
      <c r="BD456" t="inlineStr">
        <is>
          <t>893344814</t>
        </is>
      </c>
    </row>
    <row r="457">
      <c r="A457" t="inlineStr">
        <is>
          <t>No</t>
        </is>
      </c>
      <c r="B457" t="inlineStr">
        <is>
          <t>BF353 .M4</t>
        </is>
      </c>
      <c r="C457" t="inlineStr">
        <is>
          <t>0                      BF 0353000M  4</t>
        </is>
      </c>
      <c r="D457" t="inlineStr">
        <is>
          <t>Public places and private spaces : the psychology of work, play, and living environments / Albert Mehrabian.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Mehrabian, Albert.</t>
        </is>
      </c>
      <c r="L457" t="inlineStr">
        <is>
          <t>New York : Basic Books, c1976.</t>
        </is>
      </c>
      <c r="M457" t="inlineStr">
        <is>
          <t>1976</t>
        </is>
      </c>
      <c r="O457" t="inlineStr">
        <is>
          <t>eng</t>
        </is>
      </c>
      <c r="P457" t="inlineStr">
        <is>
          <t>nyu</t>
        </is>
      </c>
      <c r="R457" t="inlineStr">
        <is>
          <t xml:space="preserve">BF </t>
        </is>
      </c>
      <c r="S457" t="n">
        <v>2</v>
      </c>
      <c r="T457" t="n">
        <v>2</v>
      </c>
      <c r="U457" t="inlineStr">
        <is>
          <t>2001-09-25</t>
        </is>
      </c>
      <c r="V457" t="inlineStr">
        <is>
          <t>2001-09-25</t>
        </is>
      </c>
      <c r="W457" t="inlineStr">
        <is>
          <t>1996-07-26</t>
        </is>
      </c>
      <c r="X457" t="inlineStr">
        <is>
          <t>1996-07-26</t>
        </is>
      </c>
      <c r="Y457" t="n">
        <v>967</v>
      </c>
      <c r="Z457" t="n">
        <v>812</v>
      </c>
      <c r="AA457" t="n">
        <v>816</v>
      </c>
      <c r="AB457" t="n">
        <v>6</v>
      </c>
      <c r="AC457" t="n">
        <v>6</v>
      </c>
      <c r="AD457" t="n">
        <v>31</v>
      </c>
      <c r="AE457" t="n">
        <v>31</v>
      </c>
      <c r="AF457" t="n">
        <v>14</v>
      </c>
      <c r="AG457" t="n">
        <v>14</v>
      </c>
      <c r="AH457" t="n">
        <v>7</v>
      </c>
      <c r="AI457" t="n">
        <v>7</v>
      </c>
      <c r="AJ457" t="n">
        <v>13</v>
      </c>
      <c r="AK457" t="n">
        <v>13</v>
      </c>
      <c r="AL457" t="n">
        <v>4</v>
      </c>
      <c r="AM457" t="n">
        <v>4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HYPERLINK("http://catalog.hathitrust.org/Record/000701981","HathiTrust Record")</f>
        <v/>
      </c>
      <c r="AS457">
        <f>HYPERLINK("https://creighton-primo.hosted.exlibrisgroup.com/primo-explore/search?tab=default_tab&amp;search_scope=EVERYTHING&amp;vid=01CRU&amp;lang=en_US&amp;offset=0&amp;query=any,contains,991004001369702656","Catalog Record")</f>
        <v/>
      </c>
      <c r="AT457">
        <f>HYPERLINK("http://www.worldcat.org/oclc/2073978","WorldCat Record")</f>
        <v/>
      </c>
      <c r="AU457" t="inlineStr">
        <is>
          <t>820104753:eng</t>
        </is>
      </c>
      <c r="AV457" t="inlineStr">
        <is>
          <t>2073978</t>
        </is>
      </c>
      <c r="AW457" t="inlineStr">
        <is>
          <t>991004001369702656</t>
        </is>
      </c>
      <c r="AX457" t="inlineStr">
        <is>
          <t>991004001369702656</t>
        </is>
      </c>
      <c r="AY457" t="inlineStr">
        <is>
          <t>2255264760002656</t>
        </is>
      </c>
      <c r="AZ457" t="inlineStr">
        <is>
          <t>BOOK</t>
        </is>
      </c>
      <c r="BB457" t="inlineStr">
        <is>
          <t>9780465067763</t>
        </is>
      </c>
      <c r="BC457" t="inlineStr">
        <is>
          <t>32285002247418</t>
        </is>
      </c>
      <c r="BD457" t="inlineStr">
        <is>
          <t>893904659</t>
        </is>
      </c>
    </row>
    <row r="458">
      <c r="A458" t="inlineStr">
        <is>
          <t>No</t>
        </is>
      </c>
      <c r="B458" t="inlineStr">
        <is>
          <t>BF353 .S36 1989</t>
        </is>
      </c>
      <c r="C458" t="inlineStr">
        <is>
          <t>0                      BF 0353000S  36          1989</t>
        </is>
      </c>
      <c r="D458" t="inlineStr">
        <is>
          <t>Behavior settings : a revision and extension of Roger G. Barker's Ecological psychology / Phil Schoggen, with a chapter by Karl A. Fox.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Schoggen, Phil.</t>
        </is>
      </c>
      <c r="L458" t="inlineStr">
        <is>
          <t>Stanford, Calif. : Stanford University Press, 1989.</t>
        </is>
      </c>
      <c r="M458" t="inlineStr">
        <is>
          <t>1989</t>
        </is>
      </c>
      <c r="O458" t="inlineStr">
        <is>
          <t>eng</t>
        </is>
      </c>
      <c r="P458" t="inlineStr">
        <is>
          <t>cau</t>
        </is>
      </c>
      <c r="R458" t="inlineStr">
        <is>
          <t xml:space="preserve">BF </t>
        </is>
      </c>
      <c r="S458" t="n">
        <v>5</v>
      </c>
      <c r="T458" t="n">
        <v>5</v>
      </c>
      <c r="U458" t="inlineStr">
        <is>
          <t>2003-04-10</t>
        </is>
      </c>
      <c r="V458" t="inlineStr">
        <is>
          <t>2003-04-10</t>
        </is>
      </c>
      <c r="W458" t="inlineStr">
        <is>
          <t>1989-12-18</t>
        </is>
      </c>
      <c r="X458" t="inlineStr">
        <is>
          <t>1989-12-18</t>
        </is>
      </c>
      <c r="Y458" t="n">
        <v>306</v>
      </c>
      <c r="Z458" t="n">
        <v>251</v>
      </c>
      <c r="AA458" t="n">
        <v>251</v>
      </c>
      <c r="AB458" t="n">
        <v>3</v>
      </c>
      <c r="AC458" t="n">
        <v>3</v>
      </c>
      <c r="AD458" t="n">
        <v>15</v>
      </c>
      <c r="AE458" t="n">
        <v>15</v>
      </c>
      <c r="AF458" t="n">
        <v>3</v>
      </c>
      <c r="AG458" t="n">
        <v>3</v>
      </c>
      <c r="AH458" t="n">
        <v>3</v>
      </c>
      <c r="AI458" t="n">
        <v>3</v>
      </c>
      <c r="AJ458" t="n">
        <v>12</v>
      </c>
      <c r="AK458" t="n">
        <v>12</v>
      </c>
      <c r="AL458" t="n">
        <v>2</v>
      </c>
      <c r="AM458" t="n">
        <v>2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HYPERLINK("https://creighton-primo.hosted.exlibrisgroup.com/primo-explore/search?tab=default_tab&amp;search_scope=EVERYTHING&amp;vid=01CRU&amp;lang=en_US&amp;offset=0&amp;query=any,contains,991001401739702656","Catalog Record")</f>
        <v/>
      </c>
      <c r="AT458">
        <f>HYPERLINK("http://www.worldcat.org/oclc/18832820","WorldCat Record")</f>
        <v/>
      </c>
      <c r="AU458" t="inlineStr">
        <is>
          <t>917018213:eng</t>
        </is>
      </c>
      <c r="AV458" t="inlineStr">
        <is>
          <t>18832820</t>
        </is>
      </c>
      <c r="AW458" t="inlineStr">
        <is>
          <t>991001401739702656</t>
        </is>
      </c>
      <c r="AX458" t="inlineStr">
        <is>
          <t>991001401739702656</t>
        </is>
      </c>
      <c r="AY458" t="inlineStr">
        <is>
          <t>2259188170002656</t>
        </is>
      </c>
      <c r="AZ458" t="inlineStr">
        <is>
          <t>BOOK</t>
        </is>
      </c>
      <c r="BB458" t="inlineStr">
        <is>
          <t>9780804715430</t>
        </is>
      </c>
      <c r="BC458" t="inlineStr">
        <is>
          <t>32285000018746</t>
        </is>
      </c>
      <c r="BD458" t="inlineStr">
        <is>
          <t>893321903</t>
        </is>
      </c>
    </row>
    <row r="459">
      <c r="A459" t="inlineStr">
        <is>
          <t>No</t>
        </is>
      </c>
      <c r="B459" t="inlineStr">
        <is>
          <t>BF357 .M5 1968aa</t>
        </is>
      </c>
      <c r="C459" t="inlineStr">
        <is>
          <t>0                      BF 0357000M  5           1968aa</t>
        </is>
      </c>
      <c r="D459" t="inlineStr">
        <is>
          <t>Social facilitation and imitative behavior; outcome of the 1967 Miami University Symposium on Social Behavior. Edited by Edward C. Simmel, Ronald A. Hoppe, and G. Alexander Milton.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Miami University Symposium on Social Behavior (1st : 1967)</t>
        </is>
      </c>
      <c r="L459" t="inlineStr">
        <is>
          <t>Boston, Allyn and Bacon [1968]</t>
        </is>
      </c>
      <c r="M459" t="inlineStr">
        <is>
          <t>1968</t>
        </is>
      </c>
      <c r="O459" t="inlineStr">
        <is>
          <t>eng</t>
        </is>
      </c>
      <c r="P459" t="inlineStr">
        <is>
          <t>mau</t>
        </is>
      </c>
      <c r="R459" t="inlineStr">
        <is>
          <t xml:space="preserve">BF </t>
        </is>
      </c>
      <c r="S459" t="n">
        <v>2</v>
      </c>
      <c r="T459" t="n">
        <v>2</v>
      </c>
      <c r="U459" t="inlineStr">
        <is>
          <t>1997-02-12</t>
        </is>
      </c>
      <c r="V459" t="inlineStr">
        <is>
          <t>1997-02-12</t>
        </is>
      </c>
      <c r="W459" t="inlineStr">
        <is>
          <t>1996-07-26</t>
        </is>
      </c>
      <c r="X459" t="inlineStr">
        <is>
          <t>1996-07-26</t>
        </is>
      </c>
      <c r="Y459" t="n">
        <v>429</v>
      </c>
      <c r="Z459" t="n">
        <v>350</v>
      </c>
      <c r="AA459" t="n">
        <v>354</v>
      </c>
      <c r="AB459" t="n">
        <v>2</v>
      </c>
      <c r="AC459" t="n">
        <v>2</v>
      </c>
      <c r="AD459" t="n">
        <v>18</v>
      </c>
      <c r="AE459" t="n">
        <v>18</v>
      </c>
      <c r="AF459" t="n">
        <v>6</v>
      </c>
      <c r="AG459" t="n">
        <v>6</v>
      </c>
      <c r="AH459" t="n">
        <v>7</v>
      </c>
      <c r="AI459" t="n">
        <v>7</v>
      </c>
      <c r="AJ459" t="n">
        <v>10</v>
      </c>
      <c r="AK459" t="n">
        <v>10</v>
      </c>
      <c r="AL459" t="n">
        <v>1</v>
      </c>
      <c r="AM459" t="n">
        <v>1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HYPERLINK("http://catalog.hathitrust.org/Record/000357272","HathiTrust Record")</f>
        <v/>
      </c>
      <c r="AS459">
        <f>HYPERLINK("https://creighton-primo.hosted.exlibrisgroup.com/primo-explore/search?tab=default_tab&amp;search_scope=EVERYTHING&amp;vid=01CRU&amp;lang=en_US&amp;offset=0&amp;query=any,contains,991001093879702656","Catalog Record")</f>
        <v/>
      </c>
      <c r="AT459">
        <f>HYPERLINK("http://www.worldcat.org/oclc/182285","WorldCat Record")</f>
        <v/>
      </c>
      <c r="AU459" t="inlineStr">
        <is>
          <t>1326182:eng</t>
        </is>
      </c>
      <c r="AV459" t="inlineStr">
        <is>
          <t>182285</t>
        </is>
      </c>
      <c r="AW459" t="inlineStr">
        <is>
          <t>991001093879702656</t>
        </is>
      </c>
      <c r="AX459" t="inlineStr">
        <is>
          <t>991001093879702656</t>
        </is>
      </c>
      <c r="AY459" t="inlineStr">
        <is>
          <t>2271505850002656</t>
        </is>
      </c>
      <c r="AZ459" t="inlineStr">
        <is>
          <t>BOOK</t>
        </is>
      </c>
      <c r="BC459" t="inlineStr">
        <is>
          <t>32285002247426</t>
        </is>
      </c>
      <c r="BD459" t="inlineStr">
        <is>
          <t>893315507</t>
        </is>
      </c>
    </row>
    <row r="460">
      <c r="A460" t="inlineStr">
        <is>
          <t>No</t>
        </is>
      </c>
      <c r="B460" t="inlineStr">
        <is>
          <t>BF365 .E5</t>
        </is>
      </c>
      <c r="C460" t="inlineStr">
        <is>
          <t>0                      BF 0365000E  5</t>
        </is>
      </c>
      <c r="D460" t="inlineStr">
        <is>
          <t>Word associations of young children, by Doris R. Entwisle.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Entwisle, Doris R.</t>
        </is>
      </c>
      <c r="L460" t="inlineStr">
        <is>
          <t>Baltimore, Johns Hopkins Press [1966]</t>
        </is>
      </c>
      <c r="M460" t="inlineStr">
        <is>
          <t>1966</t>
        </is>
      </c>
      <c r="O460" t="inlineStr">
        <is>
          <t>eng</t>
        </is>
      </c>
      <c r="P460" t="inlineStr">
        <is>
          <t>mdu</t>
        </is>
      </c>
      <c r="R460" t="inlineStr">
        <is>
          <t xml:space="preserve">BF </t>
        </is>
      </c>
      <c r="S460" t="n">
        <v>1</v>
      </c>
      <c r="T460" t="n">
        <v>1</v>
      </c>
      <c r="U460" t="inlineStr">
        <is>
          <t>1996-09-24</t>
        </is>
      </c>
      <c r="V460" t="inlineStr">
        <is>
          <t>1996-09-24</t>
        </is>
      </c>
      <c r="W460" t="inlineStr">
        <is>
          <t>1996-07-26</t>
        </is>
      </c>
      <c r="X460" t="inlineStr">
        <is>
          <t>1996-07-26</t>
        </is>
      </c>
      <c r="Y460" t="n">
        <v>527</v>
      </c>
      <c r="Z460" t="n">
        <v>444</v>
      </c>
      <c r="AA460" t="n">
        <v>446</v>
      </c>
      <c r="AB460" t="n">
        <v>2</v>
      </c>
      <c r="AC460" t="n">
        <v>2</v>
      </c>
      <c r="AD460" t="n">
        <v>20</v>
      </c>
      <c r="AE460" t="n">
        <v>20</v>
      </c>
      <c r="AF460" t="n">
        <v>7</v>
      </c>
      <c r="AG460" t="n">
        <v>7</v>
      </c>
      <c r="AH460" t="n">
        <v>5</v>
      </c>
      <c r="AI460" t="n">
        <v>5</v>
      </c>
      <c r="AJ460" t="n">
        <v>12</v>
      </c>
      <c r="AK460" t="n">
        <v>12</v>
      </c>
      <c r="AL460" t="n">
        <v>1</v>
      </c>
      <c r="AM460" t="n">
        <v>1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HYPERLINK("http://catalog.hathitrust.org/Record/000357310","HathiTrust Record")</f>
        <v/>
      </c>
      <c r="AS460">
        <f>HYPERLINK("https://creighton-primo.hosted.exlibrisgroup.com/primo-explore/search?tab=default_tab&amp;search_scope=EVERYTHING&amp;vid=01CRU&amp;lang=en_US&amp;offset=0&amp;query=any,contains,991001213579702656","Catalog Record")</f>
        <v/>
      </c>
      <c r="AT460">
        <f>HYPERLINK("http://www.worldcat.org/oclc/193328","WorldCat Record")</f>
        <v/>
      </c>
      <c r="AU460" t="inlineStr">
        <is>
          <t>1356553:eng</t>
        </is>
      </c>
      <c r="AV460" t="inlineStr">
        <is>
          <t>193328</t>
        </is>
      </c>
      <c r="AW460" t="inlineStr">
        <is>
          <t>991001213579702656</t>
        </is>
      </c>
      <c r="AX460" t="inlineStr">
        <is>
          <t>991001213579702656</t>
        </is>
      </c>
      <c r="AY460" t="inlineStr">
        <is>
          <t>2270832430002656</t>
        </is>
      </c>
      <c r="AZ460" t="inlineStr">
        <is>
          <t>BOOK</t>
        </is>
      </c>
      <c r="BC460" t="inlineStr">
        <is>
          <t>32285002247442</t>
        </is>
      </c>
      <c r="BD460" t="inlineStr">
        <is>
          <t>893503199</t>
        </is>
      </c>
    </row>
    <row r="461">
      <c r="A461" t="inlineStr">
        <is>
          <t>No</t>
        </is>
      </c>
      <c r="B461" t="inlineStr">
        <is>
          <t>BF367 .H67</t>
        </is>
      </c>
      <c r="C461" t="inlineStr">
        <is>
          <t>0                      BF 0367000H  67</t>
        </is>
      </c>
      <c r="D461" t="inlineStr">
        <is>
          <t>Image formation and cognition.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Horowitz, Mardi Jon, 1934-</t>
        </is>
      </c>
      <c r="L461" t="inlineStr">
        <is>
          <t>New York, Appleton-Century-Crofts [1970]</t>
        </is>
      </c>
      <c r="M461" t="inlineStr">
        <is>
          <t>1970</t>
        </is>
      </c>
      <c r="O461" t="inlineStr">
        <is>
          <t>eng</t>
        </is>
      </c>
      <c r="P461" t="inlineStr">
        <is>
          <t>nyu</t>
        </is>
      </c>
      <c r="R461" t="inlineStr">
        <is>
          <t xml:space="preserve">BF </t>
        </is>
      </c>
      <c r="S461" t="n">
        <v>2</v>
      </c>
      <c r="T461" t="n">
        <v>2</v>
      </c>
      <c r="U461" t="inlineStr">
        <is>
          <t>1995-02-28</t>
        </is>
      </c>
      <c r="V461" t="inlineStr">
        <is>
          <t>1995-02-28</t>
        </is>
      </c>
      <c r="W461" t="inlineStr">
        <is>
          <t>1994-10-24</t>
        </is>
      </c>
      <c r="X461" t="inlineStr">
        <is>
          <t>1994-10-24</t>
        </is>
      </c>
      <c r="Y461" t="n">
        <v>450</v>
      </c>
      <c r="Z461" t="n">
        <v>374</v>
      </c>
      <c r="AA461" t="n">
        <v>473</v>
      </c>
      <c r="AB461" t="n">
        <v>4</v>
      </c>
      <c r="AC461" t="n">
        <v>4</v>
      </c>
      <c r="AD461" t="n">
        <v>18</v>
      </c>
      <c r="AE461" t="n">
        <v>23</v>
      </c>
      <c r="AF461" t="n">
        <v>6</v>
      </c>
      <c r="AG461" t="n">
        <v>6</v>
      </c>
      <c r="AH461" t="n">
        <v>4</v>
      </c>
      <c r="AI461" t="n">
        <v>6</v>
      </c>
      <c r="AJ461" t="n">
        <v>9</v>
      </c>
      <c r="AK461" t="n">
        <v>13</v>
      </c>
      <c r="AL461" t="n">
        <v>3</v>
      </c>
      <c r="AM461" t="n">
        <v>3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HYPERLINK("http://catalog.hathitrust.org/Record/000357321","HathiTrust Record")</f>
        <v/>
      </c>
      <c r="AS461">
        <f>HYPERLINK("https://creighton-primo.hosted.exlibrisgroup.com/primo-explore/search?tab=default_tab&amp;search_scope=EVERYTHING&amp;vid=01CRU&amp;lang=en_US&amp;offset=0&amp;query=any,contains,991000635299702656","Catalog Record")</f>
        <v/>
      </c>
      <c r="AT461">
        <f>HYPERLINK("http://www.worldcat.org/oclc/107429","WorldCat Record")</f>
        <v/>
      </c>
      <c r="AU461" t="inlineStr">
        <is>
          <t>1193192:eng</t>
        </is>
      </c>
      <c r="AV461" t="inlineStr">
        <is>
          <t>107429</t>
        </is>
      </c>
      <c r="AW461" t="inlineStr">
        <is>
          <t>991000635299702656</t>
        </is>
      </c>
      <c r="AX461" t="inlineStr">
        <is>
          <t>991000635299702656</t>
        </is>
      </c>
      <c r="AY461" t="inlineStr">
        <is>
          <t>2261903930002656</t>
        </is>
      </c>
      <c r="AZ461" t="inlineStr">
        <is>
          <t>BOOK</t>
        </is>
      </c>
      <c r="BB461" t="inlineStr">
        <is>
          <t>9780390459916</t>
        </is>
      </c>
      <c r="BC461" t="inlineStr">
        <is>
          <t>32285001962777</t>
        </is>
      </c>
      <c r="BD461" t="inlineStr">
        <is>
          <t>893784405</t>
        </is>
      </c>
    </row>
    <row r="462">
      <c r="A462" t="inlineStr">
        <is>
          <t>No</t>
        </is>
      </c>
      <c r="B462" t="inlineStr">
        <is>
          <t>BF367 .I462 1983</t>
        </is>
      </c>
      <c r="C462" t="inlineStr">
        <is>
          <t>0                      BF 0367000I  462         1983</t>
        </is>
      </c>
      <c r="D462" t="inlineStr">
        <is>
          <t>Imagery--current theory, research, and application / edited by Anees A. Sheikh.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New York : Wiley, c1983.</t>
        </is>
      </c>
      <c r="M462" t="inlineStr">
        <is>
          <t>1983</t>
        </is>
      </c>
      <c r="O462" t="inlineStr">
        <is>
          <t>eng</t>
        </is>
      </c>
      <c r="P462" t="inlineStr">
        <is>
          <t>nyu</t>
        </is>
      </c>
      <c r="Q462" t="inlineStr">
        <is>
          <t>Wiley series on personality processes</t>
        </is>
      </c>
      <c r="R462" t="inlineStr">
        <is>
          <t xml:space="preserve">BF </t>
        </is>
      </c>
      <c r="S462" t="n">
        <v>5</v>
      </c>
      <c r="T462" t="n">
        <v>5</v>
      </c>
      <c r="U462" t="inlineStr">
        <is>
          <t>2001-02-14</t>
        </is>
      </c>
      <c r="V462" t="inlineStr">
        <is>
          <t>2001-02-14</t>
        </is>
      </c>
      <c r="W462" t="inlineStr">
        <is>
          <t>1990-03-27</t>
        </is>
      </c>
      <c r="X462" t="inlineStr">
        <is>
          <t>1990-03-27</t>
        </is>
      </c>
      <c r="Y462" t="n">
        <v>622</v>
      </c>
      <c r="Z462" t="n">
        <v>523</v>
      </c>
      <c r="AA462" t="n">
        <v>532</v>
      </c>
      <c r="AB462" t="n">
        <v>4</v>
      </c>
      <c r="AC462" t="n">
        <v>4</v>
      </c>
      <c r="AD462" t="n">
        <v>29</v>
      </c>
      <c r="AE462" t="n">
        <v>29</v>
      </c>
      <c r="AF462" t="n">
        <v>11</v>
      </c>
      <c r="AG462" t="n">
        <v>11</v>
      </c>
      <c r="AH462" t="n">
        <v>6</v>
      </c>
      <c r="AI462" t="n">
        <v>6</v>
      </c>
      <c r="AJ462" t="n">
        <v>18</v>
      </c>
      <c r="AK462" t="n">
        <v>18</v>
      </c>
      <c r="AL462" t="n">
        <v>3</v>
      </c>
      <c r="AM462" t="n">
        <v>3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HYPERLINK("http://catalog.hathitrust.org/Record/000277713","HathiTrust Record")</f>
        <v/>
      </c>
      <c r="AS462">
        <f>HYPERLINK("https://creighton-primo.hosted.exlibrisgroup.com/primo-explore/search?tab=default_tab&amp;search_scope=EVERYTHING&amp;vid=01CRU&amp;lang=en_US&amp;offset=0&amp;query=any,contains,991005398709702656","Catalog Record")</f>
        <v/>
      </c>
      <c r="AT462">
        <f>HYPERLINK("http://www.worldcat.org/oclc/8907155","WorldCat Record")</f>
        <v/>
      </c>
      <c r="AU462" t="inlineStr">
        <is>
          <t>54532782:eng</t>
        </is>
      </c>
      <c r="AV462" t="inlineStr">
        <is>
          <t>8907155</t>
        </is>
      </c>
      <c r="AW462" t="inlineStr">
        <is>
          <t>991005398709702656</t>
        </is>
      </c>
      <c r="AX462" t="inlineStr">
        <is>
          <t>991005398709702656</t>
        </is>
      </c>
      <c r="AY462" t="inlineStr">
        <is>
          <t>2263007700002656</t>
        </is>
      </c>
      <c r="AZ462" t="inlineStr">
        <is>
          <t>BOOK</t>
        </is>
      </c>
      <c r="BB462" t="inlineStr">
        <is>
          <t>9780471092254</t>
        </is>
      </c>
      <c r="BC462" t="inlineStr">
        <is>
          <t>32285000096890</t>
        </is>
      </c>
      <c r="BD462" t="inlineStr">
        <is>
          <t>893890168</t>
        </is>
      </c>
    </row>
    <row r="463">
      <c r="A463" t="inlineStr">
        <is>
          <t>No</t>
        </is>
      </c>
      <c r="B463" t="inlineStr">
        <is>
          <t>BF367 .K385 1979</t>
        </is>
      </c>
      <c r="C463" t="inlineStr">
        <is>
          <t>0                      BF 0367000K  385         1979</t>
        </is>
      </c>
      <c r="D463" t="inlineStr">
        <is>
          <t>Visual imagery and its relation to problem solving : A theoretical and experimental inquiry / Geir Kaufmann.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Kaufmann, Geir.</t>
        </is>
      </c>
      <c r="L463" t="inlineStr">
        <is>
          <t>Bergen : Universitetsforlaget, 1979.</t>
        </is>
      </c>
      <c r="M463" t="inlineStr">
        <is>
          <t>1979</t>
        </is>
      </c>
      <c r="O463" t="inlineStr">
        <is>
          <t>eng</t>
        </is>
      </c>
      <c r="P463" t="inlineStr">
        <is>
          <t xml:space="preserve">no </t>
        </is>
      </c>
      <c r="R463" t="inlineStr">
        <is>
          <t xml:space="preserve">BF </t>
        </is>
      </c>
      <c r="S463" t="n">
        <v>3</v>
      </c>
      <c r="T463" t="n">
        <v>3</v>
      </c>
      <c r="U463" t="inlineStr">
        <is>
          <t>2009-01-28</t>
        </is>
      </c>
      <c r="V463" t="inlineStr">
        <is>
          <t>2009-01-28</t>
        </is>
      </c>
      <c r="W463" t="inlineStr">
        <is>
          <t>1994-10-24</t>
        </is>
      </c>
      <c r="X463" t="inlineStr">
        <is>
          <t>1994-10-24</t>
        </is>
      </c>
      <c r="Y463" t="n">
        <v>219</v>
      </c>
      <c r="Z463" t="n">
        <v>149</v>
      </c>
      <c r="AA463" t="n">
        <v>151</v>
      </c>
      <c r="AB463" t="n">
        <v>2</v>
      </c>
      <c r="AC463" t="n">
        <v>2</v>
      </c>
      <c r="AD463" t="n">
        <v>4</v>
      </c>
      <c r="AE463" t="n">
        <v>4</v>
      </c>
      <c r="AF463" t="n">
        <v>1</v>
      </c>
      <c r="AG463" t="n">
        <v>1</v>
      </c>
      <c r="AH463" t="n">
        <v>1</v>
      </c>
      <c r="AI463" t="n">
        <v>1</v>
      </c>
      <c r="AJ463" t="n">
        <v>1</v>
      </c>
      <c r="AK463" t="n">
        <v>1</v>
      </c>
      <c r="AL463" t="n">
        <v>1</v>
      </c>
      <c r="AM463" t="n">
        <v>1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HYPERLINK("http://catalog.hathitrust.org/Record/000693532","HathiTrust Record")</f>
        <v/>
      </c>
      <c r="AS463">
        <f>HYPERLINK("https://creighton-primo.hosted.exlibrisgroup.com/primo-explore/search?tab=default_tab&amp;search_scope=EVERYTHING&amp;vid=01CRU&amp;lang=en_US&amp;offset=0&amp;query=any,contains,991004959189702656","Catalog Record")</f>
        <v/>
      </c>
      <c r="AT463">
        <f>HYPERLINK("http://www.worldcat.org/oclc/6301625","WorldCat Record")</f>
        <v/>
      </c>
      <c r="AU463" t="inlineStr">
        <is>
          <t>214158:eng</t>
        </is>
      </c>
      <c r="AV463" t="inlineStr">
        <is>
          <t>6301625</t>
        </is>
      </c>
      <c r="AW463" t="inlineStr">
        <is>
          <t>991004959189702656</t>
        </is>
      </c>
      <c r="AX463" t="inlineStr">
        <is>
          <t>991004959189702656</t>
        </is>
      </c>
      <c r="AY463" t="inlineStr">
        <is>
          <t>2270079060002656</t>
        </is>
      </c>
      <c r="AZ463" t="inlineStr">
        <is>
          <t>BOOK</t>
        </is>
      </c>
      <c r="BB463" t="inlineStr">
        <is>
          <t>9788200017882</t>
        </is>
      </c>
      <c r="BC463" t="inlineStr">
        <is>
          <t>32285001962793</t>
        </is>
      </c>
      <c r="BD463" t="inlineStr">
        <is>
          <t>893776631</t>
        </is>
      </c>
    </row>
    <row r="464">
      <c r="A464" t="inlineStr">
        <is>
          <t>No</t>
        </is>
      </c>
      <c r="B464" t="inlineStr">
        <is>
          <t>BF370 .E23 1985</t>
        </is>
      </c>
      <c r="C464" t="inlineStr">
        <is>
          <t>0                      BF 0370000E  23          1985</t>
        </is>
      </c>
      <c r="D464" t="inlineStr">
        <is>
          <t>Memory and learning : the Ebbinghaus Centennial Conference / edited by David S. Gorfein [and] Robert R. Hoffman.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Ebbinghaus Centennial Conference (1985 : Adelphi University)</t>
        </is>
      </c>
      <c r="L464" t="inlineStr">
        <is>
          <t>Hillsdale, N.J. : L. Erlbaum Associates, 1987.</t>
        </is>
      </c>
      <c r="M464" t="inlineStr">
        <is>
          <t>1987</t>
        </is>
      </c>
      <c r="O464" t="inlineStr">
        <is>
          <t>eng</t>
        </is>
      </c>
      <c r="P464" t="inlineStr">
        <is>
          <t>nju</t>
        </is>
      </c>
      <c r="R464" t="inlineStr">
        <is>
          <t xml:space="preserve">BF </t>
        </is>
      </c>
      <c r="S464" t="n">
        <v>8</v>
      </c>
      <c r="T464" t="n">
        <v>8</v>
      </c>
      <c r="U464" t="inlineStr">
        <is>
          <t>2005-05-12</t>
        </is>
      </c>
      <c r="V464" t="inlineStr">
        <is>
          <t>2005-05-12</t>
        </is>
      </c>
      <c r="W464" t="inlineStr">
        <is>
          <t>1990-05-24</t>
        </is>
      </c>
      <c r="X464" t="inlineStr">
        <is>
          <t>1990-05-24</t>
        </is>
      </c>
      <c r="Y464" t="n">
        <v>341</v>
      </c>
      <c r="Z464" t="n">
        <v>274</v>
      </c>
      <c r="AA464" t="n">
        <v>276</v>
      </c>
      <c r="AB464" t="n">
        <v>3</v>
      </c>
      <c r="AC464" t="n">
        <v>3</v>
      </c>
      <c r="AD464" t="n">
        <v>12</v>
      </c>
      <c r="AE464" t="n">
        <v>12</v>
      </c>
      <c r="AF464" t="n">
        <v>2</v>
      </c>
      <c r="AG464" t="n">
        <v>2</v>
      </c>
      <c r="AH464" t="n">
        <v>4</v>
      </c>
      <c r="AI464" t="n">
        <v>4</v>
      </c>
      <c r="AJ464" t="n">
        <v>9</v>
      </c>
      <c r="AK464" t="n">
        <v>9</v>
      </c>
      <c r="AL464" t="n">
        <v>2</v>
      </c>
      <c r="AM464" t="n">
        <v>2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HYPERLINK("http://catalog.hathitrust.org/Record/000882918","HathiTrust Record")</f>
        <v/>
      </c>
      <c r="AS464">
        <f>HYPERLINK("https://creighton-primo.hosted.exlibrisgroup.com/primo-explore/search?tab=default_tab&amp;search_scope=EVERYTHING&amp;vid=01CRU&amp;lang=en_US&amp;offset=0&amp;query=any,contains,991000942189702656","Catalog Record")</f>
        <v/>
      </c>
      <c r="AT464">
        <f>HYPERLINK("http://www.worldcat.org/oclc/14413553","WorldCat Record")</f>
        <v/>
      </c>
      <c r="AU464" t="inlineStr">
        <is>
          <t>329505527:eng</t>
        </is>
      </c>
      <c r="AV464" t="inlineStr">
        <is>
          <t>14413553</t>
        </is>
      </c>
      <c r="AW464" t="inlineStr">
        <is>
          <t>991000942189702656</t>
        </is>
      </c>
      <c r="AX464" t="inlineStr">
        <is>
          <t>991000942189702656</t>
        </is>
      </c>
      <c r="AY464" t="inlineStr">
        <is>
          <t>2266425060002656</t>
        </is>
      </c>
      <c r="AZ464" t="inlineStr">
        <is>
          <t>BOOK</t>
        </is>
      </c>
      <c r="BB464" t="inlineStr">
        <is>
          <t>9780898596533</t>
        </is>
      </c>
      <c r="BC464" t="inlineStr">
        <is>
          <t>32285000165513</t>
        </is>
      </c>
      <c r="BD464" t="inlineStr">
        <is>
          <t>893432455</t>
        </is>
      </c>
    </row>
    <row r="465">
      <c r="A465" t="inlineStr">
        <is>
          <t>No</t>
        </is>
      </c>
      <c r="B465" t="inlineStr">
        <is>
          <t>BF371 .C77</t>
        </is>
      </c>
      <c r="C465" t="inlineStr">
        <is>
          <t>0                      BF 0371000C  77</t>
        </is>
      </c>
      <c r="D465" t="inlineStr">
        <is>
          <t>Principles of learning and memory / Robert G. Crowder.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Crowder, Robert G.</t>
        </is>
      </c>
      <c r="L465" t="inlineStr">
        <is>
          <t>Hillsdale, N.J. : Lawrence Erlbaum Associates ; New York : distributed by the Halsted Press, 1976.</t>
        </is>
      </c>
      <c r="M465" t="inlineStr">
        <is>
          <t>1976</t>
        </is>
      </c>
      <c r="O465" t="inlineStr">
        <is>
          <t>eng</t>
        </is>
      </c>
      <c r="P465" t="inlineStr">
        <is>
          <t>nju</t>
        </is>
      </c>
      <c r="Q465" t="inlineStr">
        <is>
          <t>The Experimental psychology series</t>
        </is>
      </c>
      <c r="R465" t="inlineStr">
        <is>
          <t xml:space="preserve">BF </t>
        </is>
      </c>
      <c r="S465" t="n">
        <v>4</v>
      </c>
      <c r="T465" t="n">
        <v>4</v>
      </c>
      <c r="U465" t="inlineStr">
        <is>
          <t>2000-09-10</t>
        </is>
      </c>
      <c r="V465" t="inlineStr">
        <is>
          <t>2000-09-10</t>
        </is>
      </c>
      <c r="W465" t="inlineStr">
        <is>
          <t>1995-04-26</t>
        </is>
      </c>
      <c r="X465" t="inlineStr">
        <is>
          <t>1995-04-26</t>
        </is>
      </c>
      <c r="Y465" t="n">
        <v>681</v>
      </c>
      <c r="Z465" t="n">
        <v>525</v>
      </c>
      <c r="AA465" t="n">
        <v>556</v>
      </c>
      <c r="AB465" t="n">
        <v>6</v>
      </c>
      <c r="AC465" t="n">
        <v>6</v>
      </c>
      <c r="AD465" t="n">
        <v>27</v>
      </c>
      <c r="AE465" t="n">
        <v>27</v>
      </c>
      <c r="AF465" t="n">
        <v>9</v>
      </c>
      <c r="AG465" t="n">
        <v>9</v>
      </c>
      <c r="AH465" t="n">
        <v>7</v>
      </c>
      <c r="AI465" t="n">
        <v>7</v>
      </c>
      <c r="AJ465" t="n">
        <v>13</v>
      </c>
      <c r="AK465" t="n">
        <v>13</v>
      </c>
      <c r="AL465" t="n">
        <v>5</v>
      </c>
      <c r="AM465" t="n">
        <v>5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HYPERLINK("http://catalog.hathitrust.org/Record/000735635","HathiTrust Record")</f>
        <v/>
      </c>
      <c r="AS465">
        <f>HYPERLINK("https://creighton-primo.hosted.exlibrisgroup.com/primo-explore/search?tab=default_tab&amp;search_scope=EVERYTHING&amp;vid=01CRU&amp;lang=en_US&amp;offset=0&amp;query=any,contains,991004079719702656","Catalog Record")</f>
        <v/>
      </c>
      <c r="AT465">
        <f>HYPERLINK("http://www.worldcat.org/oclc/2324621","WorldCat Record")</f>
        <v/>
      </c>
      <c r="AU465" t="inlineStr">
        <is>
          <t>4737829:eng</t>
        </is>
      </c>
      <c r="AV465" t="inlineStr">
        <is>
          <t>2324621</t>
        </is>
      </c>
      <c r="AW465" t="inlineStr">
        <is>
          <t>991004079719702656</t>
        </is>
      </c>
      <c r="AX465" t="inlineStr">
        <is>
          <t>991004079719702656</t>
        </is>
      </c>
      <c r="AY465" t="inlineStr">
        <is>
          <t>2260383100002656</t>
        </is>
      </c>
      <c r="AZ465" t="inlineStr">
        <is>
          <t>BOOK</t>
        </is>
      </c>
      <c r="BB465" t="inlineStr">
        <is>
          <t>9780470150276</t>
        </is>
      </c>
      <c r="BC465" t="inlineStr">
        <is>
          <t>32285002029618</t>
        </is>
      </c>
      <c r="BD465" t="inlineStr">
        <is>
          <t>893894540</t>
        </is>
      </c>
    </row>
    <row r="466">
      <c r="A466" t="inlineStr">
        <is>
          <t>No</t>
        </is>
      </c>
      <c r="B466" t="inlineStr">
        <is>
          <t>BF371 .L6</t>
        </is>
      </c>
      <c r="C466" t="inlineStr">
        <is>
          <t>0                      BF 0371000L  6</t>
        </is>
      </c>
      <c r="D466" t="inlineStr">
        <is>
          <t>Memory.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Locke, Don.</t>
        </is>
      </c>
      <c r="L466" t="inlineStr">
        <is>
          <t>Garden City, N.Y. : Anchor Books, 1971.</t>
        </is>
      </c>
      <c r="M466" t="inlineStr">
        <is>
          <t>1971</t>
        </is>
      </c>
      <c r="O466" t="inlineStr">
        <is>
          <t>eng</t>
        </is>
      </c>
      <c r="P466" t="inlineStr">
        <is>
          <t>nyu</t>
        </is>
      </c>
      <c r="Q466" t="inlineStr">
        <is>
          <t>Problems in philosophy</t>
        </is>
      </c>
      <c r="R466" t="inlineStr">
        <is>
          <t xml:space="preserve">BF </t>
        </is>
      </c>
      <c r="S466" t="n">
        <v>7</v>
      </c>
      <c r="T466" t="n">
        <v>7</v>
      </c>
      <c r="U466" t="inlineStr">
        <is>
          <t>2003-04-04</t>
        </is>
      </c>
      <c r="V466" t="inlineStr">
        <is>
          <t>2003-04-04</t>
        </is>
      </c>
      <c r="W466" t="inlineStr">
        <is>
          <t>1994-12-12</t>
        </is>
      </c>
      <c r="X466" t="inlineStr">
        <is>
          <t>1994-12-12</t>
        </is>
      </c>
      <c r="Y466" t="n">
        <v>176</v>
      </c>
      <c r="Z466" t="n">
        <v>152</v>
      </c>
      <c r="AA466" t="n">
        <v>199</v>
      </c>
      <c r="AB466" t="n">
        <v>1</v>
      </c>
      <c r="AC466" t="n">
        <v>1</v>
      </c>
      <c r="AD466" t="n">
        <v>6</v>
      </c>
      <c r="AE466" t="n">
        <v>9</v>
      </c>
      <c r="AF466" t="n">
        <v>0</v>
      </c>
      <c r="AG466" t="n">
        <v>1</v>
      </c>
      <c r="AH466" t="n">
        <v>1</v>
      </c>
      <c r="AI466" t="n">
        <v>2</v>
      </c>
      <c r="AJ466" t="n">
        <v>6</v>
      </c>
      <c r="AK466" t="n">
        <v>8</v>
      </c>
      <c r="AL466" t="n">
        <v>0</v>
      </c>
      <c r="AM466" t="n">
        <v>0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HYPERLINK("https://creighton-primo.hosted.exlibrisgroup.com/primo-explore/search?tab=default_tab&amp;search_scope=EVERYTHING&amp;vid=01CRU&amp;lang=en_US&amp;offset=0&amp;query=any,contains,991000670749702656","Catalog Record")</f>
        <v/>
      </c>
      <c r="AT466">
        <f>HYPERLINK("http://www.worldcat.org/oclc/118829","WorldCat Record")</f>
        <v/>
      </c>
      <c r="AU466" t="inlineStr">
        <is>
          <t>1238424:eng</t>
        </is>
      </c>
      <c r="AV466" t="inlineStr">
        <is>
          <t>118829</t>
        </is>
      </c>
      <c r="AW466" t="inlineStr">
        <is>
          <t>991000670749702656</t>
        </is>
      </c>
      <c r="AX466" t="inlineStr">
        <is>
          <t>991000670749702656</t>
        </is>
      </c>
      <c r="AY466" t="inlineStr">
        <is>
          <t>2261619860002656</t>
        </is>
      </c>
      <c r="AZ466" t="inlineStr">
        <is>
          <t>BOOK</t>
        </is>
      </c>
      <c r="BC466" t="inlineStr">
        <is>
          <t>32285001982098</t>
        </is>
      </c>
      <c r="BD466" t="inlineStr">
        <is>
          <t>893521890</t>
        </is>
      </c>
    </row>
    <row r="467">
      <c r="A467" t="inlineStr">
        <is>
          <t>No</t>
        </is>
      </c>
      <c r="B467" t="inlineStr">
        <is>
          <t>BF371 .L64</t>
        </is>
      </c>
      <c r="C467" t="inlineStr">
        <is>
          <t>0                      BF 0371000L  64</t>
        </is>
      </c>
      <c r="D467" t="inlineStr">
        <is>
          <t>Human memory : the processing of information / Geoffrey R. Loftus, Elizabeth F. Loftus.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Loftus, Geoffrey R.</t>
        </is>
      </c>
      <c r="L467" t="inlineStr">
        <is>
          <t>Hillsdale, N.J. : L. Erlbaum Associates ; New York : distributed by the Halsted Press Division of John Wiley, 1976.</t>
        </is>
      </c>
      <c r="M467" t="inlineStr">
        <is>
          <t>1976</t>
        </is>
      </c>
      <c r="O467" t="inlineStr">
        <is>
          <t>eng</t>
        </is>
      </c>
      <c r="P467" t="inlineStr">
        <is>
          <t>nju</t>
        </is>
      </c>
      <c r="R467" t="inlineStr">
        <is>
          <t xml:space="preserve">BF </t>
        </is>
      </c>
      <c r="S467" t="n">
        <v>3</v>
      </c>
      <c r="T467" t="n">
        <v>3</v>
      </c>
      <c r="U467" t="inlineStr">
        <is>
          <t>2002-04-13</t>
        </is>
      </c>
      <c r="V467" t="inlineStr">
        <is>
          <t>2002-04-13</t>
        </is>
      </c>
      <c r="W467" t="inlineStr">
        <is>
          <t>1990-09-21</t>
        </is>
      </c>
      <c r="X467" t="inlineStr">
        <is>
          <t>1990-09-21</t>
        </is>
      </c>
      <c r="Y467" t="n">
        <v>772</v>
      </c>
      <c r="Z467" t="n">
        <v>649</v>
      </c>
      <c r="AA467" t="n">
        <v>685</v>
      </c>
      <c r="AB467" t="n">
        <v>4</v>
      </c>
      <c r="AC467" t="n">
        <v>4</v>
      </c>
      <c r="AD467" t="n">
        <v>23</v>
      </c>
      <c r="AE467" t="n">
        <v>23</v>
      </c>
      <c r="AF467" t="n">
        <v>14</v>
      </c>
      <c r="AG467" t="n">
        <v>14</v>
      </c>
      <c r="AH467" t="n">
        <v>3</v>
      </c>
      <c r="AI467" t="n">
        <v>3</v>
      </c>
      <c r="AJ467" t="n">
        <v>9</v>
      </c>
      <c r="AK467" t="n">
        <v>9</v>
      </c>
      <c r="AL467" t="n">
        <v>3</v>
      </c>
      <c r="AM467" t="n">
        <v>3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HYPERLINK("http://catalog.hathitrust.org/Record/000018707","HathiTrust Record")</f>
        <v/>
      </c>
      <c r="AS467">
        <f>HYPERLINK("https://creighton-primo.hosted.exlibrisgroup.com/primo-explore/search?tab=default_tab&amp;search_scope=EVERYTHING&amp;vid=01CRU&amp;lang=en_US&amp;offset=0&amp;query=any,contains,991003806009702656","Catalog Record")</f>
        <v/>
      </c>
      <c r="AT467">
        <f>HYPERLINK("http://www.worldcat.org/oclc/1530699","WorldCat Record")</f>
        <v/>
      </c>
      <c r="AU467" t="inlineStr">
        <is>
          <t>310019061:eng</t>
        </is>
      </c>
      <c r="AV467" t="inlineStr">
        <is>
          <t>1530699</t>
        </is>
      </c>
      <c r="AW467" t="inlineStr">
        <is>
          <t>991003806009702656</t>
        </is>
      </c>
      <c r="AX467" t="inlineStr">
        <is>
          <t>991003806009702656</t>
        </is>
      </c>
      <c r="AY467" t="inlineStr">
        <is>
          <t>2269694710002656</t>
        </is>
      </c>
      <c r="AZ467" t="inlineStr">
        <is>
          <t>BOOK</t>
        </is>
      </c>
      <c r="BB467" t="inlineStr">
        <is>
          <t>9780470543368</t>
        </is>
      </c>
      <c r="BC467" t="inlineStr">
        <is>
          <t>32285000307842</t>
        </is>
      </c>
      <c r="BD467" t="inlineStr">
        <is>
          <t>893343042</t>
        </is>
      </c>
    </row>
    <row r="468">
      <c r="A468" t="inlineStr">
        <is>
          <t>No</t>
        </is>
      </c>
      <c r="B468" t="inlineStr">
        <is>
          <t>BF371 .M449 1989</t>
        </is>
      </c>
      <c r="C468" t="inlineStr">
        <is>
          <t>0                      BF 0371000M  449         1989</t>
        </is>
      </c>
      <c r="D468" t="inlineStr">
        <is>
          <t>Memory : history, culture and the mind / edited by Thomas Butler.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L468" t="inlineStr">
        <is>
          <t>Oxford, UK ; New York, NY, USA : B. Blackwell, 1989.</t>
        </is>
      </c>
      <c r="M468" t="inlineStr">
        <is>
          <t>1989</t>
        </is>
      </c>
      <c r="O468" t="inlineStr">
        <is>
          <t>eng</t>
        </is>
      </c>
      <c r="P468" t="inlineStr">
        <is>
          <t>enk</t>
        </is>
      </c>
      <c r="Q468" t="inlineStr">
        <is>
          <t>Wolfson College lectures ; 1988</t>
        </is>
      </c>
      <c r="R468" t="inlineStr">
        <is>
          <t xml:space="preserve">BF </t>
        </is>
      </c>
      <c r="S468" t="n">
        <v>1</v>
      </c>
      <c r="T468" t="n">
        <v>1</v>
      </c>
      <c r="U468" t="inlineStr">
        <is>
          <t>2006-10-23</t>
        </is>
      </c>
      <c r="V468" t="inlineStr">
        <is>
          <t>2006-10-23</t>
        </is>
      </c>
      <c r="W468" t="inlineStr">
        <is>
          <t>1991-01-25</t>
        </is>
      </c>
      <c r="X468" t="inlineStr">
        <is>
          <t>1991-01-25</t>
        </is>
      </c>
      <c r="Y468" t="n">
        <v>422</v>
      </c>
      <c r="Z468" t="n">
        <v>296</v>
      </c>
      <c r="AA468" t="n">
        <v>304</v>
      </c>
      <c r="AB468" t="n">
        <v>2</v>
      </c>
      <c r="AC468" t="n">
        <v>2</v>
      </c>
      <c r="AD468" t="n">
        <v>11</v>
      </c>
      <c r="AE468" t="n">
        <v>11</v>
      </c>
      <c r="AF468" t="n">
        <v>3</v>
      </c>
      <c r="AG468" t="n">
        <v>3</v>
      </c>
      <c r="AH468" t="n">
        <v>4</v>
      </c>
      <c r="AI468" t="n">
        <v>4</v>
      </c>
      <c r="AJ468" t="n">
        <v>4</v>
      </c>
      <c r="AK468" t="n">
        <v>4</v>
      </c>
      <c r="AL468" t="n">
        <v>1</v>
      </c>
      <c r="AM468" t="n">
        <v>1</v>
      </c>
      <c r="AN468" t="n">
        <v>0</v>
      </c>
      <c r="AO468" t="n">
        <v>0</v>
      </c>
      <c r="AP468" t="inlineStr">
        <is>
          <t>No</t>
        </is>
      </c>
      <c r="AQ468" t="inlineStr">
        <is>
          <t>No</t>
        </is>
      </c>
      <c r="AS468">
        <f>HYPERLINK("https://creighton-primo.hosted.exlibrisgroup.com/primo-explore/search?tab=default_tab&amp;search_scope=EVERYTHING&amp;vid=01CRU&amp;lang=en_US&amp;offset=0&amp;query=any,contains,991001366079702656","Catalog Record")</f>
        <v/>
      </c>
      <c r="AT468">
        <f>HYPERLINK("http://www.worldcat.org/oclc/18558532","WorldCat Record")</f>
        <v/>
      </c>
      <c r="AU468" t="inlineStr">
        <is>
          <t>836729188:eng</t>
        </is>
      </c>
      <c r="AV468" t="inlineStr">
        <is>
          <t>18558532</t>
        </is>
      </c>
      <c r="AW468" t="inlineStr">
        <is>
          <t>991001366079702656</t>
        </is>
      </c>
      <c r="AX468" t="inlineStr">
        <is>
          <t>991001366079702656</t>
        </is>
      </c>
      <c r="AY468" t="inlineStr">
        <is>
          <t>2262304710002656</t>
        </is>
      </c>
      <c r="AZ468" t="inlineStr">
        <is>
          <t>BOOK</t>
        </is>
      </c>
      <c r="BB468" t="inlineStr">
        <is>
          <t>9780631164425</t>
        </is>
      </c>
      <c r="BC468" t="inlineStr">
        <is>
          <t>32285000460930</t>
        </is>
      </c>
      <c r="BD468" t="inlineStr">
        <is>
          <t>893346438</t>
        </is>
      </c>
    </row>
    <row r="469">
      <c r="A469" t="inlineStr">
        <is>
          <t>No</t>
        </is>
      </c>
      <c r="B469" t="inlineStr">
        <is>
          <t>BF371 .M46</t>
        </is>
      </c>
      <c r="C469" t="inlineStr">
        <is>
          <t>0                      BF 0371000M  46</t>
        </is>
      </c>
      <c r="D469" t="inlineStr">
        <is>
          <t>Memory organization and structure / edited by C. Richard Puff.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L469" t="inlineStr">
        <is>
          <t>New York : Academic Press, c1979.</t>
        </is>
      </c>
      <c r="M469" t="inlineStr">
        <is>
          <t>1979</t>
        </is>
      </c>
      <c r="O469" t="inlineStr">
        <is>
          <t>eng</t>
        </is>
      </c>
      <c r="P469" t="inlineStr">
        <is>
          <t>nyu</t>
        </is>
      </c>
      <c r="R469" t="inlineStr">
        <is>
          <t xml:space="preserve">BF </t>
        </is>
      </c>
      <c r="S469" t="n">
        <v>4</v>
      </c>
      <c r="T469" t="n">
        <v>4</v>
      </c>
      <c r="U469" t="inlineStr">
        <is>
          <t>2000-09-10</t>
        </is>
      </c>
      <c r="V469" t="inlineStr">
        <is>
          <t>2000-09-10</t>
        </is>
      </c>
      <c r="W469" t="inlineStr">
        <is>
          <t>1994-10-24</t>
        </is>
      </c>
      <c r="X469" t="inlineStr">
        <is>
          <t>1994-10-24</t>
        </is>
      </c>
      <c r="Y469" t="n">
        <v>582</v>
      </c>
      <c r="Z469" t="n">
        <v>423</v>
      </c>
      <c r="AA469" t="n">
        <v>429</v>
      </c>
      <c r="AB469" t="n">
        <v>4</v>
      </c>
      <c r="AC469" t="n">
        <v>4</v>
      </c>
      <c r="AD469" t="n">
        <v>20</v>
      </c>
      <c r="AE469" t="n">
        <v>20</v>
      </c>
      <c r="AF469" t="n">
        <v>7</v>
      </c>
      <c r="AG469" t="n">
        <v>7</v>
      </c>
      <c r="AH469" t="n">
        <v>5</v>
      </c>
      <c r="AI469" t="n">
        <v>5</v>
      </c>
      <c r="AJ469" t="n">
        <v>11</v>
      </c>
      <c r="AK469" t="n">
        <v>11</v>
      </c>
      <c r="AL469" t="n">
        <v>3</v>
      </c>
      <c r="AM469" t="n">
        <v>3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HYPERLINK("http://catalog.hathitrust.org/Record/000743171","HathiTrust Record")</f>
        <v/>
      </c>
      <c r="AS469">
        <f>HYPERLINK("https://creighton-primo.hosted.exlibrisgroup.com/primo-explore/search?tab=default_tab&amp;search_scope=EVERYTHING&amp;vid=01CRU&amp;lang=en_US&amp;offset=0&amp;query=any,contains,991004831439702656","Catalog Record")</f>
        <v/>
      </c>
      <c r="AT469">
        <f>HYPERLINK("http://www.worldcat.org/oclc/5411202","WorldCat Record")</f>
        <v/>
      </c>
      <c r="AU469" t="inlineStr">
        <is>
          <t>409616:eng</t>
        </is>
      </c>
      <c r="AV469" t="inlineStr">
        <is>
          <t>5411202</t>
        </is>
      </c>
      <c r="AW469" t="inlineStr">
        <is>
          <t>991004831439702656</t>
        </is>
      </c>
      <c r="AX469" t="inlineStr">
        <is>
          <t>991004831439702656</t>
        </is>
      </c>
      <c r="AY469" t="inlineStr">
        <is>
          <t>2256407840002656</t>
        </is>
      </c>
      <c r="AZ469" t="inlineStr">
        <is>
          <t>BOOK</t>
        </is>
      </c>
      <c r="BB469" t="inlineStr">
        <is>
          <t>9780125667500</t>
        </is>
      </c>
      <c r="BC469" t="inlineStr">
        <is>
          <t>32285001962850</t>
        </is>
      </c>
      <c r="BD469" t="inlineStr">
        <is>
          <t>893706879</t>
        </is>
      </c>
    </row>
    <row r="470">
      <c r="A470" t="inlineStr">
        <is>
          <t>No</t>
        </is>
      </c>
      <c r="B470" t="inlineStr">
        <is>
          <t>BF371 .M77 1974</t>
        </is>
      </c>
      <c r="C470" t="inlineStr">
        <is>
          <t>0                      BF 0371000M  77          1974</t>
        </is>
      </c>
      <c r="D470" t="inlineStr">
        <is>
          <t>Human memory : theory and data / by Bennet B. Murdock, Jr.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Murdock, Bennet B. (Bennet Bronson)</t>
        </is>
      </c>
      <c r="L470" t="inlineStr">
        <is>
          <t>Potomac, Md. : Lawrence Erlbaum Associates ; distributed by Halsted Press Division, Wiley, New York, 1974.</t>
        </is>
      </c>
      <c r="M470" t="inlineStr">
        <is>
          <t>1974</t>
        </is>
      </c>
      <c r="O470" t="inlineStr">
        <is>
          <t>eng</t>
        </is>
      </c>
      <c r="P470" t="inlineStr">
        <is>
          <t>mdu</t>
        </is>
      </c>
      <c r="Q470" t="inlineStr">
        <is>
          <t>The Experimental psychology series</t>
        </is>
      </c>
      <c r="R470" t="inlineStr">
        <is>
          <t xml:space="preserve">BF </t>
        </is>
      </c>
      <c r="S470" t="n">
        <v>6</v>
      </c>
      <c r="T470" t="n">
        <v>6</v>
      </c>
      <c r="U470" t="inlineStr">
        <is>
          <t>1996-10-30</t>
        </is>
      </c>
      <c r="V470" t="inlineStr">
        <is>
          <t>1996-10-30</t>
        </is>
      </c>
      <c r="W470" t="inlineStr">
        <is>
          <t>1992-07-23</t>
        </is>
      </c>
      <c r="X470" t="inlineStr">
        <is>
          <t>1992-07-23</t>
        </is>
      </c>
      <c r="Y470" t="n">
        <v>658</v>
      </c>
      <c r="Z470" t="n">
        <v>516</v>
      </c>
      <c r="AA470" t="n">
        <v>526</v>
      </c>
      <c r="AB470" t="n">
        <v>4</v>
      </c>
      <c r="AC470" t="n">
        <v>4</v>
      </c>
      <c r="AD470" t="n">
        <v>22</v>
      </c>
      <c r="AE470" t="n">
        <v>23</v>
      </c>
      <c r="AF470" t="n">
        <v>6</v>
      </c>
      <c r="AG470" t="n">
        <v>7</v>
      </c>
      <c r="AH470" t="n">
        <v>7</v>
      </c>
      <c r="AI470" t="n">
        <v>7</v>
      </c>
      <c r="AJ470" t="n">
        <v>12</v>
      </c>
      <c r="AK470" t="n">
        <v>13</v>
      </c>
      <c r="AL470" t="n">
        <v>3</v>
      </c>
      <c r="AM470" t="n">
        <v>3</v>
      </c>
      <c r="AN470" t="n">
        <v>0</v>
      </c>
      <c r="AO470" t="n">
        <v>0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HYPERLINK("http://catalog.hathitrust.org/Record/000012249","HathiTrust Record")</f>
        <v/>
      </c>
      <c r="AS470">
        <f>HYPERLINK("https://creighton-primo.hosted.exlibrisgroup.com/primo-explore/search?tab=default_tab&amp;search_scope=EVERYTHING&amp;vid=01CRU&amp;lang=en_US&amp;offset=0&amp;query=any,contains,991003289209702656","Catalog Record")</f>
        <v/>
      </c>
      <c r="AT470">
        <f>HYPERLINK("http://www.worldcat.org/oclc/810956","WorldCat Record")</f>
        <v/>
      </c>
      <c r="AU470" t="inlineStr">
        <is>
          <t>1651862:eng</t>
        </is>
      </c>
      <c r="AV470" t="inlineStr">
        <is>
          <t>810956</t>
        </is>
      </c>
      <c r="AW470" t="inlineStr">
        <is>
          <t>991003289209702656</t>
        </is>
      </c>
      <c r="AX470" t="inlineStr">
        <is>
          <t>991003289209702656</t>
        </is>
      </c>
      <c r="AY470" t="inlineStr">
        <is>
          <t>2269045850002656</t>
        </is>
      </c>
      <c r="AZ470" t="inlineStr">
        <is>
          <t>BOOK</t>
        </is>
      </c>
      <c r="BB470" t="inlineStr">
        <is>
          <t>9780470625255</t>
        </is>
      </c>
      <c r="BC470" t="inlineStr">
        <is>
          <t>32285001211100</t>
        </is>
      </c>
      <c r="BD470" t="inlineStr">
        <is>
          <t>893805625</t>
        </is>
      </c>
    </row>
    <row r="471">
      <c r="A471" t="inlineStr">
        <is>
          <t>No</t>
        </is>
      </c>
      <c r="B471" t="inlineStr">
        <is>
          <t>BF371 .P5513 1973b</t>
        </is>
      </c>
      <c r="C471" t="inlineStr">
        <is>
          <t>0                      BF 0371000P  5513        1973b</t>
        </is>
      </c>
      <c r="D471" t="inlineStr">
        <is>
          <t>Memory and intelligence [by] Jean Piaget and Bärbel Inhelder, in collaboration with Hermine Sinclair-De Zwart. Translated from the French by Arnold J. Pomerans.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Piaget, Jean, 1896-1980.</t>
        </is>
      </c>
      <c r="L471" t="inlineStr">
        <is>
          <t>New York, Basic Books [1973]</t>
        </is>
      </c>
      <c r="M471" t="inlineStr">
        <is>
          <t>1973</t>
        </is>
      </c>
      <c r="O471" t="inlineStr">
        <is>
          <t>eng</t>
        </is>
      </c>
      <c r="P471" t="inlineStr">
        <is>
          <t>nyu</t>
        </is>
      </c>
      <c r="R471" t="inlineStr">
        <is>
          <t xml:space="preserve">BF </t>
        </is>
      </c>
      <c r="S471" t="n">
        <v>5</v>
      </c>
      <c r="T471" t="n">
        <v>5</v>
      </c>
      <c r="U471" t="inlineStr">
        <is>
          <t>2007-04-25</t>
        </is>
      </c>
      <c r="V471" t="inlineStr">
        <is>
          <t>2007-04-25</t>
        </is>
      </c>
      <c r="W471" t="inlineStr">
        <is>
          <t>1996-07-26</t>
        </is>
      </c>
      <c r="X471" t="inlineStr">
        <is>
          <t>1996-07-26</t>
        </is>
      </c>
      <c r="Y471" t="n">
        <v>1082</v>
      </c>
      <c r="Z471" t="n">
        <v>1020</v>
      </c>
      <c r="AA471" t="n">
        <v>1094</v>
      </c>
      <c r="AB471" t="n">
        <v>8</v>
      </c>
      <c r="AC471" t="n">
        <v>8</v>
      </c>
      <c r="AD471" t="n">
        <v>44</v>
      </c>
      <c r="AE471" t="n">
        <v>44</v>
      </c>
      <c r="AF471" t="n">
        <v>19</v>
      </c>
      <c r="AG471" t="n">
        <v>19</v>
      </c>
      <c r="AH471" t="n">
        <v>9</v>
      </c>
      <c r="AI471" t="n">
        <v>9</v>
      </c>
      <c r="AJ471" t="n">
        <v>21</v>
      </c>
      <c r="AK471" t="n">
        <v>21</v>
      </c>
      <c r="AL471" t="n">
        <v>5</v>
      </c>
      <c r="AM471" t="n">
        <v>5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HYPERLINK("http://catalog.hathitrust.org/Record/000357591","HathiTrust Record")</f>
        <v/>
      </c>
      <c r="AS471">
        <f>HYPERLINK("https://creighton-primo.hosted.exlibrisgroup.com/primo-explore/search?tab=default_tab&amp;search_scope=EVERYTHING&amp;vid=01CRU&amp;lang=en_US&amp;offset=0&amp;query=any,contains,991003251449702656","Catalog Record")</f>
        <v/>
      </c>
      <c r="AT471">
        <f>HYPERLINK("http://www.worldcat.org/oclc/776172","WorldCat Record")</f>
        <v/>
      </c>
      <c r="AU471" t="inlineStr">
        <is>
          <t>51746462:eng</t>
        </is>
      </c>
      <c r="AV471" t="inlineStr">
        <is>
          <t>776172</t>
        </is>
      </c>
      <c r="AW471" t="inlineStr">
        <is>
          <t>991003251449702656</t>
        </is>
      </c>
      <c r="AX471" t="inlineStr">
        <is>
          <t>991003251449702656</t>
        </is>
      </c>
      <c r="AY471" t="inlineStr">
        <is>
          <t>2268500770002656</t>
        </is>
      </c>
      <c r="AZ471" t="inlineStr">
        <is>
          <t>BOOK</t>
        </is>
      </c>
      <c r="BB471" t="inlineStr">
        <is>
          <t>9780465044450</t>
        </is>
      </c>
      <c r="BC471" t="inlineStr">
        <is>
          <t>32285002247509</t>
        </is>
      </c>
      <c r="BD471" t="inlineStr">
        <is>
          <t>893323919</t>
        </is>
      </c>
    </row>
    <row r="472">
      <c r="A472" t="inlineStr">
        <is>
          <t>No</t>
        </is>
      </c>
      <c r="B472" t="inlineStr">
        <is>
          <t>BF371 .R34</t>
        </is>
      </c>
      <c r="C472" t="inlineStr">
        <is>
          <t>0                      BF 0371000R  34</t>
        </is>
      </c>
      <c r="D472" t="inlineStr">
        <is>
          <t>Human memory : contemporary readings / edited by John G. Seamon.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L472" t="inlineStr">
        <is>
          <t>New York : Oxford University Press, 1980.</t>
        </is>
      </c>
      <c r="M472" t="inlineStr">
        <is>
          <t>1980</t>
        </is>
      </c>
      <c r="O472" t="inlineStr">
        <is>
          <t>eng</t>
        </is>
      </c>
      <c r="P472" t="inlineStr">
        <is>
          <t>nyu</t>
        </is>
      </c>
      <c r="R472" t="inlineStr">
        <is>
          <t xml:space="preserve">BF </t>
        </is>
      </c>
      <c r="S472" t="n">
        <v>4</v>
      </c>
      <c r="T472" t="n">
        <v>4</v>
      </c>
      <c r="U472" t="inlineStr">
        <is>
          <t>1999-02-11</t>
        </is>
      </c>
      <c r="V472" t="inlineStr">
        <is>
          <t>1999-02-11</t>
        </is>
      </c>
      <c r="W472" t="inlineStr">
        <is>
          <t>1994-10-24</t>
        </is>
      </c>
      <c r="X472" t="inlineStr">
        <is>
          <t>1994-10-24</t>
        </is>
      </c>
      <c r="Y472" t="n">
        <v>319</v>
      </c>
      <c r="Z472" t="n">
        <v>241</v>
      </c>
      <c r="AA472" t="n">
        <v>242</v>
      </c>
      <c r="AB472" t="n">
        <v>3</v>
      </c>
      <c r="AC472" t="n">
        <v>3</v>
      </c>
      <c r="AD472" t="n">
        <v>13</v>
      </c>
      <c r="AE472" t="n">
        <v>13</v>
      </c>
      <c r="AF472" t="n">
        <v>4</v>
      </c>
      <c r="AG472" t="n">
        <v>4</v>
      </c>
      <c r="AH472" t="n">
        <v>3</v>
      </c>
      <c r="AI472" t="n">
        <v>3</v>
      </c>
      <c r="AJ472" t="n">
        <v>8</v>
      </c>
      <c r="AK472" t="n">
        <v>8</v>
      </c>
      <c r="AL472" t="n">
        <v>2</v>
      </c>
      <c r="AM472" t="n">
        <v>2</v>
      </c>
      <c r="AN472" t="n">
        <v>0</v>
      </c>
      <c r="AO472" t="n">
        <v>0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HYPERLINK("https://creighton-primo.hosted.exlibrisgroup.com/primo-explore/search?tab=default_tab&amp;search_scope=EVERYTHING&amp;vid=01CRU&amp;lang=en_US&amp;offset=0&amp;query=any,contains,991004885519702656","Catalog Record")</f>
        <v/>
      </c>
      <c r="AT472">
        <f>HYPERLINK("http://www.worldcat.org/oclc/5831680","WorldCat Record")</f>
        <v/>
      </c>
      <c r="AU472" t="inlineStr">
        <is>
          <t>415100:eng</t>
        </is>
      </c>
      <c r="AV472" t="inlineStr">
        <is>
          <t>5831680</t>
        </is>
      </c>
      <c r="AW472" t="inlineStr">
        <is>
          <t>991004885519702656</t>
        </is>
      </c>
      <c r="AX472" t="inlineStr">
        <is>
          <t>991004885519702656</t>
        </is>
      </c>
      <c r="AY472" t="inlineStr">
        <is>
          <t>2263360300002656</t>
        </is>
      </c>
      <c r="AZ472" t="inlineStr">
        <is>
          <t>BOOK</t>
        </is>
      </c>
      <c r="BB472" t="inlineStr">
        <is>
          <t>9780195027389</t>
        </is>
      </c>
      <c r="BC472" t="inlineStr">
        <is>
          <t>32285001962876</t>
        </is>
      </c>
      <c r="BD472" t="inlineStr">
        <is>
          <t>893694451</t>
        </is>
      </c>
    </row>
    <row r="473">
      <c r="A473" t="inlineStr">
        <is>
          <t>No</t>
        </is>
      </c>
      <c r="B473" t="inlineStr">
        <is>
          <t>BF371 .R53 1966a</t>
        </is>
      </c>
      <c r="C473" t="inlineStr">
        <is>
          <t>0                      BF 0371000R  53          1966a</t>
        </is>
      </c>
      <c r="D473" t="inlineStr">
        <is>
          <t>Aspects of learning and memory.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Richter, Derek editor.</t>
        </is>
      </c>
      <c r="L473" t="inlineStr">
        <is>
          <t>New York, Basic Books [c1966]</t>
        </is>
      </c>
      <c r="M473" t="inlineStr">
        <is>
          <t>1966</t>
        </is>
      </c>
      <c r="O473" t="inlineStr">
        <is>
          <t>eng</t>
        </is>
      </c>
      <c r="P473" t="inlineStr">
        <is>
          <t>nyu</t>
        </is>
      </c>
      <c r="R473" t="inlineStr">
        <is>
          <t xml:space="preserve">BF </t>
        </is>
      </c>
      <c r="S473" t="n">
        <v>3</v>
      </c>
      <c r="T473" t="n">
        <v>3</v>
      </c>
      <c r="U473" t="inlineStr">
        <is>
          <t>1997-03-16</t>
        </is>
      </c>
      <c r="V473" t="inlineStr">
        <is>
          <t>1997-03-16</t>
        </is>
      </c>
      <c r="W473" t="inlineStr">
        <is>
          <t>1996-07-26</t>
        </is>
      </c>
      <c r="X473" t="inlineStr">
        <is>
          <t>1996-07-26</t>
        </is>
      </c>
      <c r="Y473" t="n">
        <v>442</v>
      </c>
      <c r="Z473" t="n">
        <v>403</v>
      </c>
      <c r="AA473" t="n">
        <v>471</v>
      </c>
      <c r="AB473" t="n">
        <v>6</v>
      </c>
      <c r="AC473" t="n">
        <v>6</v>
      </c>
      <c r="AD473" t="n">
        <v>22</v>
      </c>
      <c r="AE473" t="n">
        <v>25</v>
      </c>
      <c r="AF473" t="n">
        <v>8</v>
      </c>
      <c r="AG473" t="n">
        <v>9</v>
      </c>
      <c r="AH473" t="n">
        <v>4</v>
      </c>
      <c r="AI473" t="n">
        <v>5</v>
      </c>
      <c r="AJ473" t="n">
        <v>10</v>
      </c>
      <c r="AK473" t="n">
        <v>11</v>
      </c>
      <c r="AL473" t="n">
        <v>5</v>
      </c>
      <c r="AM473" t="n">
        <v>5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HYPERLINK("http://catalog.hathitrust.org/Record/000357461","HathiTrust Record")</f>
        <v/>
      </c>
      <c r="AS473">
        <f>HYPERLINK("https://creighton-primo.hosted.exlibrisgroup.com/primo-explore/search?tab=default_tab&amp;search_scope=EVERYTHING&amp;vid=01CRU&amp;lang=en_US&amp;offset=0&amp;query=any,contains,991003351759702656","Catalog Record")</f>
        <v/>
      </c>
      <c r="AT473">
        <f>HYPERLINK("http://www.worldcat.org/oclc/885438","WorldCat Record")</f>
        <v/>
      </c>
      <c r="AU473" t="inlineStr">
        <is>
          <t>1864044:eng</t>
        </is>
      </c>
      <c r="AV473" t="inlineStr">
        <is>
          <t>885438</t>
        </is>
      </c>
      <c r="AW473" t="inlineStr">
        <is>
          <t>991003351759702656</t>
        </is>
      </c>
      <c r="AX473" t="inlineStr">
        <is>
          <t>991003351759702656</t>
        </is>
      </c>
      <c r="AY473" t="inlineStr">
        <is>
          <t>2257247830002656</t>
        </is>
      </c>
      <c r="AZ473" t="inlineStr">
        <is>
          <t>BOOK</t>
        </is>
      </c>
      <c r="BC473" t="inlineStr">
        <is>
          <t>32285002247517</t>
        </is>
      </c>
      <c r="BD473" t="inlineStr">
        <is>
          <t>893499222</t>
        </is>
      </c>
    </row>
    <row r="474">
      <c r="A474" t="inlineStr">
        <is>
          <t>No</t>
        </is>
      </c>
      <c r="B474" t="inlineStr">
        <is>
          <t>BF371 .S84</t>
        </is>
      </c>
      <c r="C474" t="inlineStr">
        <is>
          <t>0                      BF 0371000S  84</t>
        </is>
      </c>
      <c r="D474" t="inlineStr">
        <is>
          <t>The structure of human memory / edited by Charles N. Cofer.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L474" t="inlineStr">
        <is>
          <t>San Francisco : W. H. Freeman, c1976.</t>
        </is>
      </c>
      <c r="M474" t="inlineStr">
        <is>
          <t>1976</t>
        </is>
      </c>
      <c r="O474" t="inlineStr">
        <is>
          <t>eng</t>
        </is>
      </c>
      <c r="P474" t="inlineStr">
        <is>
          <t>cau</t>
        </is>
      </c>
      <c r="Q474" t="inlineStr">
        <is>
          <t>A Series of books in psychology</t>
        </is>
      </c>
      <c r="R474" t="inlineStr">
        <is>
          <t xml:space="preserve">BF </t>
        </is>
      </c>
      <c r="S474" t="n">
        <v>6</v>
      </c>
      <c r="T474" t="n">
        <v>6</v>
      </c>
      <c r="U474" t="inlineStr">
        <is>
          <t>2005-11-20</t>
        </is>
      </c>
      <c r="V474" t="inlineStr">
        <is>
          <t>2005-11-20</t>
        </is>
      </c>
      <c r="W474" t="inlineStr">
        <is>
          <t>1996-07-26</t>
        </is>
      </c>
      <c r="X474" t="inlineStr">
        <is>
          <t>1996-07-26</t>
        </is>
      </c>
      <c r="Y474" t="n">
        <v>755</v>
      </c>
      <c r="Z474" t="n">
        <v>614</v>
      </c>
      <c r="AA474" t="n">
        <v>621</v>
      </c>
      <c r="AB474" t="n">
        <v>4</v>
      </c>
      <c r="AC474" t="n">
        <v>4</v>
      </c>
      <c r="AD474" t="n">
        <v>27</v>
      </c>
      <c r="AE474" t="n">
        <v>27</v>
      </c>
      <c r="AF474" t="n">
        <v>12</v>
      </c>
      <c r="AG474" t="n">
        <v>12</v>
      </c>
      <c r="AH474" t="n">
        <v>6</v>
      </c>
      <c r="AI474" t="n">
        <v>6</v>
      </c>
      <c r="AJ474" t="n">
        <v>14</v>
      </c>
      <c r="AK474" t="n">
        <v>14</v>
      </c>
      <c r="AL474" t="n">
        <v>3</v>
      </c>
      <c r="AM474" t="n">
        <v>3</v>
      </c>
      <c r="AN474" t="n">
        <v>0</v>
      </c>
      <c r="AO474" t="n">
        <v>0</v>
      </c>
      <c r="AP474" t="inlineStr">
        <is>
          <t>No</t>
        </is>
      </c>
      <c r="AQ474" t="inlineStr">
        <is>
          <t>No</t>
        </is>
      </c>
      <c r="AS474">
        <f>HYPERLINK("https://creighton-primo.hosted.exlibrisgroup.com/primo-explore/search?tab=default_tab&amp;search_scope=EVERYTHING&amp;vid=01CRU&amp;lang=en_US&amp;offset=0&amp;query=any,contains,991003982589702656","Catalog Record")</f>
        <v/>
      </c>
      <c r="AT474">
        <f>HYPERLINK("http://www.worldcat.org/oclc/2020732","WorldCat Record")</f>
        <v/>
      </c>
      <c r="AU474" t="inlineStr">
        <is>
          <t>365499040:eng</t>
        </is>
      </c>
      <c r="AV474" t="inlineStr">
        <is>
          <t>2020732</t>
        </is>
      </c>
      <c r="AW474" t="inlineStr">
        <is>
          <t>991003982589702656</t>
        </is>
      </c>
      <c r="AX474" t="inlineStr">
        <is>
          <t>991003982589702656</t>
        </is>
      </c>
      <c r="AY474" t="inlineStr">
        <is>
          <t>2271496020002656</t>
        </is>
      </c>
      <c r="AZ474" t="inlineStr">
        <is>
          <t>BOOK</t>
        </is>
      </c>
      <c r="BB474" t="inlineStr">
        <is>
          <t>9780716707059</t>
        </is>
      </c>
      <c r="BC474" t="inlineStr">
        <is>
          <t>32285002247533</t>
        </is>
      </c>
      <c r="BD474" t="inlineStr">
        <is>
          <t>893618073</t>
        </is>
      </c>
    </row>
    <row r="475">
      <c r="A475" t="inlineStr">
        <is>
          <t>No</t>
        </is>
      </c>
      <c r="B475" t="inlineStr">
        <is>
          <t>BF371 .S85</t>
        </is>
      </c>
      <c r="C475" t="inlineStr">
        <is>
          <t>0                      BF 0371000S  85</t>
        </is>
      </c>
      <c r="D475" t="inlineStr">
        <is>
          <t>Studies in long term memory. Edited by Alan Kennedy and Alan Wilkes.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L475" t="inlineStr">
        <is>
          <t>London, New York, Wiley [1975]</t>
        </is>
      </c>
      <c r="M475" t="inlineStr">
        <is>
          <t>1975</t>
        </is>
      </c>
      <c r="O475" t="inlineStr">
        <is>
          <t>eng</t>
        </is>
      </c>
      <c r="P475" t="inlineStr">
        <is>
          <t>enk</t>
        </is>
      </c>
      <c r="R475" t="inlineStr">
        <is>
          <t xml:space="preserve">BF </t>
        </is>
      </c>
      <c r="S475" t="n">
        <v>7</v>
      </c>
      <c r="T475" t="n">
        <v>7</v>
      </c>
      <c r="U475" t="inlineStr">
        <is>
          <t>1999-11-01</t>
        </is>
      </c>
      <c r="V475" t="inlineStr">
        <is>
          <t>1999-11-01</t>
        </is>
      </c>
      <c r="W475" t="inlineStr">
        <is>
          <t>1996-07-26</t>
        </is>
      </c>
      <c r="X475" t="inlineStr">
        <is>
          <t>1996-07-26</t>
        </is>
      </c>
      <c r="Y475" t="n">
        <v>503</v>
      </c>
      <c r="Z475" t="n">
        <v>375</v>
      </c>
      <c r="AA475" t="n">
        <v>381</v>
      </c>
      <c r="AB475" t="n">
        <v>2</v>
      </c>
      <c r="AC475" t="n">
        <v>2</v>
      </c>
      <c r="AD475" t="n">
        <v>11</v>
      </c>
      <c r="AE475" t="n">
        <v>11</v>
      </c>
      <c r="AF475" t="n">
        <v>2</v>
      </c>
      <c r="AG475" t="n">
        <v>2</v>
      </c>
      <c r="AH475" t="n">
        <v>2</v>
      </c>
      <c r="AI475" t="n">
        <v>2</v>
      </c>
      <c r="AJ475" t="n">
        <v>6</v>
      </c>
      <c r="AK475" t="n">
        <v>6</v>
      </c>
      <c r="AL475" t="n">
        <v>1</v>
      </c>
      <c r="AM475" t="n">
        <v>1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HYPERLINK("http://catalog.hathitrust.org/Record/000015887","HathiTrust Record")</f>
        <v/>
      </c>
      <c r="AS475">
        <f>HYPERLINK("https://creighton-primo.hosted.exlibrisgroup.com/primo-explore/search?tab=default_tab&amp;search_scope=EVERYTHING&amp;vid=01CRU&amp;lang=en_US&amp;offset=0&amp;query=any,contains,991003444789702656","Catalog Record")</f>
        <v/>
      </c>
      <c r="AT475">
        <f>HYPERLINK("http://www.worldcat.org/oclc/980265","WorldCat Record")</f>
        <v/>
      </c>
      <c r="AU475" t="inlineStr">
        <is>
          <t>422864895:eng</t>
        </is>
      </c>
      <c r="AV475" t="inlineStr">
        <is>
          <t>980265</t>
        </is>
      </c>
      <c r="AW475" t="inlineStr">
        <is>
          <t>991003444789702656</t>
        </is>
      </c>
      <c r="AX475" t="inlineStr">
        <is>
          <t>991003444789702656</t>
        </is>
      </c>
      <c r="AY475" t="inlineStr">
        <is>
          <t>2271331990002656</t>
        </is>
      </c>
      <c r="AZ475" t="inlineStr">
        <is>
          <t>BOOK</t>
        </is>
      </c>
      <c r="BB475" t="inlineStr">
        <is>
          <t>9780471469056</t>
        </is>
      </c>
      <c r="BC475" t="inlineStr">
        <is>
          <t>32285002247541</t>
        </is>
      </c>
      <c r="BD475" t="inlineStr">
        <is>
          <t>893518481</t>
        </is>
      </c>
    </row>
    <row r="476">
      <c r="A476" t="inlineStr">
        <is>
          <t>No</t>
        </is>
      </c>
      <c r="B476" t="inlineStr">
        <is>
          <t>BF371 .T84 1983</t>
        </is>
      </c>
      <c r="C476" t="inlineStr">
        <is>
          <t>0                      BF 0371000T  84          1983</t>
        </is>
      </c>
      <c r="D476" t="inlineStr">
        <is>
          <t>Elements of episodic memory / Endel Tulving.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Tulving, Endel, 1927-</t>
        </is>
      </c>
      <c r="L476" t="inlineStr">
        <is>
          <t>Oxford [Oxfordshire] : Clarendon Press ; New York : Oxford University Press, c1983, 1985 printing.</t>
        </is>
      </c>
      <c r="M476" t="inlineStr">
        <is>
          <t>1983</t>
        </is>
      </c>
      <c r="O476" t="inlineStr">
        <is>
          <t>eng</t>
        </is>
      </c>
      <c r="P476" t="inlineStr">
        <is>
          <t>enk</t>
        </is>
      </c>
      <c r="Q476" t="inlineStr">
        <is>
          <t>Oxford psychology series ; no. 2</t>
        </is>
      </c>
      <c r="R476" t="inlineStr">
        <is>
          <t xml:space="preserve">BF </t>
        </is>
      </c>
      <c r="S476" t="n">
        <v>6</v>
      </c>
      <c r="T476" t="n">
        <v>6</v>
      </c>
      <c r="U476" t="inlineStr">
        <is>
          <t>2004-02-24</t>
        </is>
      </c>
      <c r="V476" t="inlineStr">
        <is>
          <t>2004-02-24</t>
        </is>
      </c>
      <c r="W476" t="inlineStr">
        <is>
          <t>1992-02-04</t>
        </is>
      </c>
      <c r="X476" t="inlineStr">
        <is>
          <t>1992-02-04</t>
        </is>
      </c>
      <c r="Y476" t="n">
        <v>675</v>
      </c>
      <c r="Z476" t="n">
        <v>516</v>
      </c>
      <c r="AA476" t="n">
        <v>537</v>
      </c>
      <c r="AB476" t="n">
        <v>4</v>
      </c>
      <c r="AC476" t="n">
        <v>4</v>
      </c>
      <c r="AD476" t="n">
        <v>22</v>
      </c>
      <c r="AE476" t="n">
        <v>23</v>
      </c>
      <c r="AF476" t="n">
        <v>10</v>
      </c>
      <c r="AG476" t="n">
        <v>11</v>
      </c>
      <c r="AH476" t="n">
        <v>7</v>
      </c>
      <c r="AI476" t="n">
        <v>7</v>
      </c>
      <c r="AJ476" t="n">
        <v>9</v>
      </c>
      <c r="AK476" t="n">
        <v>9</v>
      </c>
      <c r="AL476" t="n">
        <v>3</v>
      </c>
      <c r="AM476" t="n">
        <v>3</v>
      </c>
      <c r="AN476" t="n">
        <v>0</v>
      </c>
      <c r="AO476" t="n">
        <v>0</v>
      </c>
      <c r="AP476" t="inlineStr">
        <is>
          <t>No</t>
        </is>
      </c>
      <c r="AQ476" t="inlineStr">
        <is>
          <t>Yes</t>
        </is>
      </c>
      <c r="AR476">
        <f>HYPERLINK("http://catalog.hathitrust.org/Record/000194767","HathiTrust Record")</f>
        <v/>
      </c>
      <c r="AS476">
        <f>HYPERLINK("https://creighton-primo.hosted.exlibrisgroup.com/primo-explore/search?tab=default_tab&amp;search_scope=EVERYTHING&amp;vid=01CRU&amp;lang=en_US&amp;offset=0&amp;query=any,contains,991000015769702656","Catalog Record")</f>
        <v/>
      </c>
      <c r="AT476">
        <f>HYPERLINK("http://www.worldcat.org/oclc/8552850","WorldCat Record")</f>
        <v/>
      </c>
      <c r="AU476" t="inlineStr">
        <is>
          <t>7516077:eng</t>
        </is>
      </c>
      <c r="AV476" t="inlineStr">
        <is>
          <t>8552850</t>
        </is>
      </c>
      <c r="AW476" t="inlineStr">
        <is>
          <t>991000015769702656</t>
        </is>
      </c>
      <c r="AX476" t="inlineStr">
        <is>
          <t>991000015769702656</t>
        </is>
      </c>
      <c r="AY476" t="inlineStr">
        <is>
          <t>2257592550002656</t>
        </is>
      </c>
      <c r="AZ476" t="inlineStr">
        <is>
          <t>BOOK</t>
        </is>
      </c>
      <c r="BB476" t="inlineStr">
        <is>
          <t>9780198521020</t>
        </is>
      </c>
      <c r="BC476" t="inlineStr">
        <is>
          <t>32285000950203</t>
        </is>
      </c>
      <c r="BD476" t="inlineStr">
        <is>
          <t>893783877</t>
        </is>
      </c>
    </row>
    <row r="477">
      <c r="A477" t="inlineStr">
        <is>
          <t>No</t>
        </is>
      </c>
      <c r="B477" t="inlineStr">
        <is>
          <t>BF378.A75 A8</t>
        </is>
      </c>
      <c r="C477" t="inlineStr">
        <is>
          <t>0                      BF 0378000A  75                 A  8</t>
        </is>
      </c>
      <c r="D477" t="inlineStr">
        <is>
          <t>Attitude organization and change : an analysis of consistency among attitude components / by Milton J. Rosenberg [and others]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L477" t="inlineStr">
        <is>
          <t>New Haven : Yale University Press, 1960.</t>
        </is>
      </c>
      <c r="M477" t="inlineStr">
        <is>
          <t>1960</t>
        </is>
      </c>
      <c r="O477" t="inlineStr">
        <is>
          <t>eng</t>
        </is>
      </c>
      <c r="P477" t="inlineStr">
        <is>
          <t>ctu</t>
        </is>
      </c>
      <c r="Q477" t="inlineStr">
        <is>
          <t>Yale studies in attitude and communication ; v. 3</t>
        </is>
      </c>
      <c r="R477" t="inlineStr">
        <is>
          <t xml:space="preserve">BF </t>
        </is>
      </c>
      <c r="S477" t="n">
        <v>4</v>
      </c>
      <c r="T477" t="n">
        <v>4</v>
      </c>
      <c r="U477" t="inlineStr">
        <is>
          <t>2003-04-11</t>
        </is>
      </c>
      <c r="V477" t="inlineStr">
        <is>
          <t>2003-04-11</t>
        </is>
      </c>
      <c r="W477" t="inlineStr">
        <is>
          <t>1992-01-08</t>
        </is>
      </c>
      <c r="X477" t="inlineStr">
        <is>
          <t>1992-01-08</t>
        </is>
      </c>
      <c r="Y477" t="n">
        <v>700</v>
      </c>
      <c r="Z477" t="n">
        <v>589</v>
      </c>
      <c r="AA477" t="n">
        <v>613</v>
      </c>
      <c r="AB477" t="n">
        <v>4</v>
      </c>
      <c r="AC477" t="n">
        <v>4</v>
      </c>
      <c r="AD477" t="n">
        <v>31</v>
      </c>
      <c r="AE477" t="n">
        <v>32</v>
      </c>
      <c r="AF477" t="n">
        <v>14</v>
      </c>
      <c r="AG477" t="n">
        <v>14</v>
      </c>
      <c r="AH477" t="n">
        <v>6</v>
      </c>
      <c r="AI477" t="n">
        <v>7</v>
      </c>
      <c r="AJ477" t="n">
        <v>16</v>
      </c>
      <c r="AK477" t="n">
        <v>17</v>
      </c>
      <c r="AL477" t="n">
        <v>3</v>
      </c>
      <c r="AM477" t="n">
        <v>3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HYPERLINK("http://catalog.hathitrust.org/Record/000356588","HathiTrust Record")</f>
        <v/>
      </c>
      <c r="AS477">
        <f>HYPERLINK("https://creighton-primo.hosted.exlibrisgroup.com/primo-explore/search?tab=default_tab&amp;search_scope=EVERYTHING&amp;vid=01CRU&amp;lang=en_US&amp;offset=0&amp;query=any,contains,991001376229702656","Catalog Record")</f>
        <v/>
      </c>
      <c r="AT477">
        <f>HYPERLINK("http://www.worldcat.org/oclc/224938","WorldCat Record")</f>
        <v/>
      </c>
      <c r="AU477" t="inlineStr">
        <is>
          <t>5610325797:eng</t>
        </is>
      </c>
      <c r="AV477" t="inlineStr">
        <is>
          <t>224938</t>
        </is>
      </c>
      <c r="AW477" t="inlineStr">
        <is>
          <t>991001376229702656</t>
        </is>
      </c>
      <c r="AX477" t="inlineStr">
        <is>
          <t>991001376229702656</t>
        </is>
      </c>
      <c r="AY477" t="inlineStr">
        <is>
          <t>2263600020002656</t>
        </is>
      </c>
      <c r="AZ477" t="inlineStr">
        <is>
          <t>BOOK</t>
        </is>
      </c>
      <c r="BC477" t="inlineStr">
        <is>
          <t>32285000883701</t>
        </is>
      </c>
      <c r="BD477" t="inlineStr">
        <is>
          <t>893351873</t>
        </is>
      </c>
    </row>
    <row r="478">
      <c r="A478" t="inlineStr">
        <is>
          <t>No</t>
        </is>
      </c>
      <c r="B478" t="inlineStr">
        <is>
          <t>BF378.A75 R57</t>
        </is>
      </c>
      <c r="C478" t="inlineStr">
        <is>
          <t>0                      BF 0378000A  75                 R  57</t>
        </is>
      </c>
      <c r="D478" t="inlineStr">
        <is>
          <t>The open and closed mind; investigations into the nature of belief systems and personality systems. In collaboration with Richard Bonier [and others]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Rokeach, Milton.</t>
        </is>
      </c>
      <c r="L478" t="inlineStr">
        <is>
          <t>New York, Basic Books [1960]</t>
        </is>
      </c>
      <c r="M478" t="inlineStr">
        <is>
          <t>1960</t>
        </is>
      </c>
      <c r="O478" t="inlineStr">
        <is>
          <t>eng</t>
        </is>
      </c>
      <c r="P478" t="inlineStr">
        <is>
          <t>nyu</t>
        </is>
      </c>
      <c r="R478" t="inlineStr">
        <is>
          <t xml:space="preserve">BF </t>
        </is>
      </c>
      <c r="S478" t="n">
        <v>5</v>
      </c>
      <c r="T478" t="n">
        <v>5</v>
      </c>
      <c r="U478" t="inlineStr">
        <is>
          <t>2005-01-11</t>
        </is>
      </c>
      <c r="V478" t="inlineStr">
        <is>
          <t>2005-01-11</t>
        </is>
      </c>
      <c r="W478" t="inlineStr">
        <is>
          <t>1996-07-29</t>
        </is>
      </c>
      <c r="X478" t="inlineStr">
        <is>
          <t>1996-07-29</t>
        </is>
      </c>
      <c r="Y478" t="n">
        <v>1288</v>
      </c>
      <c r="Z478" t="n">
        <v>1077</v>
      </c>
      <c r="AA478" t="n">
        <v>1099</v>
      </c>
      <c r="AB478" t="n">
        <v>9</v>
      </c>
      <c r="AC478" t="n">
        <v>9</v>
      </c>
      <c r="AD478" t="n">
        <v>48</v>
      </c>
      <c r="AE478" t="n">
        <v>48</v>
      </c>
      <c r="AF478" t="n">
        <v>22</v>
      </c>
      <c r="AG478" t="n">
        <v>22</v>
      </c>
      <c r="AH478" t="n">
        <v>10</v>
      </c>
      <c r="AI478" t="n">
        <v>10</v>
      </c>
      <c r="AJ478" t="n">
        <v>21</v>
      </c>
      <c r="AK478" t="n">
        <v>21</v>
      </c>
      <c r="AL478" t="n">
        <v>7</v>
      </c>
      <c r="AM478" t="n">
        <v>7</v>
      </c>
      <c r="AN478" t="n">
        <v>0</v>
      </c>
      <c r="AO478" t="n">
        <v>0</v>
      </c>
      <c r="AP478" t="inlineStr">
        <is>
          <t>No</t>
        </is>
      </c>
      <c r="AQ478" t="inlineStr">
        <is>
          <t>No</t>
        </is>
      </c>
      <c r="AR478">
        <f>HYPERLINK("http://catalog.hathitrust.org/Record/000356600","HathiTrust Record")</f>
        <v/>
      </c>
      <c r="AS478">
        <f>HYPERLINK("https://creighton-primo.hosted.exlibrisgroup.com/primo-explore/search?tab=default_tab&amp;search_scope=EVERYTHING&amp;vid=01CRU&amp;lang=en_US&amp;offset=0&amp;query=any,contains,991001208559702656","Catalog Record")</f>
        <v/>
      </c>
      <c r="AT478">
        <f>HYPERLINK("http://www.worldcat.org/oclc/192738","WorldCat Record")</f>
        <v/>
      </c>
      <c r="AU478" t="inlineStr">
        <is>
          <t>1354904:eng</t>
        </is>
      </c>
      <c r="AV478" t="inlineStr">
        <is>
          <t>192738</t>
        </is>
      </c>
      <c r="AW478" t="inlineStr">
        <is>
          <t>991001208559702656</t>
        </is>
      </c>
      <c r="AX478" t="inlineStr">
        <is>
          <t>991001208559702656</t>
        </is>
      </c>
      <c r="AY478" t="inlineStr">
        <is>
          <t>2256328450002656</t>
        </is>
      </c>
      <c r="AZ478" t="inlineStr">
        <is>
          <t>BOOK</t>
        </is>
      </c>
      <c r="BC478" t="inlineStr">
        <is>
          <t>32285002247830</t>
        </is>
      </c>
      <c r="BD478" t="inlineStr">
        <is>
          <t>893702839</t>
        </is>
      </c>
    </row>
    <row r="479">
      <c r="A479" t="inlineStr">
        <is>
          <t>No</t>
        </is>
      </c>
      <c r="B479" t="inlineStr">
        <is>
          <t>BF38 .B84 1989</t>
        </is>
      </c>
      <c r="C479" t="inlineStr">
        <is>
          <t>0                      BF 0038000B  84          1989</t>
        </is>
      </c>
      <c r="D479" t="inlineStr">
        <is>
          <t>Wittgenstein's philosophy of psychology / Malcolm Budd.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Budd, Malcolm, 1941-</t>
        </is>
      </c>
      <c r="L479" t="inlineStr">
        <is>
          <t>London ; New York : Routledge, 1989.</t>
        </is>
      </c>
      <c r="M479" t="inlineStr">
        <is>
          <t>1989</t>
        </is>
      </c>
      <c r="O479" t="inlineStr">
        <is>
          <t>eng</t>
        </is>
      </c>
      <c r="P479" t="inlineStr">
        <is>
          <t>enk</t>
        </is>
      </c>
      <c r="Q479" t="inlineStr">
        <is>
          <t>International library of philosophy</t>
        </is>
      </c>
      <c r="R479" t="inlineStr">
        <is>
          <t xml:space="preserve">BF </t>
        </is>
      </c>
      <c r="S479" t="n">
        <v>4</v>
      </c>
      <c r="T479" t="n">
        <v>4</v>
      </c>
      <c r="U479" t="inlineStr">
        <is>
          <t>1995-06-01</t>
        </is>
      </c>
      <c r="V479" t="inlineStr">
        <is>
          <t>1995-06-01</t>
        </is>
      </c>
      <c r="W479" t="inlineStr">
        <is>
          <t>1990-06-04</t>
        </is>
      </c>
      <c r="X479" t="inlineStr">
        <is>
          <t>1990-06-04</t>
        </is>
      </c>
      <c r="Y479" t="n">
        <v>409</v>
      </c>
      <c r="Z479" t="n">
        <v>288</v>
      </c>
      <c r="AA479" t="n">
        <v>338</v>
      </c>
      <c r="AB479" t="n">
        <v>3</v>
      </c>
      <c r="AC479" t="n">
        <v>3</v>
      </c>
      <c r="AD479" t="n">
        <v>18</v>
      </c>
      <c r="AE479" t="n">
        <v>20</v>
      </c>
      <c r="AF479" t="n">
        <v>6</v>
      </c>
      <c r="AG479" t="n">
        <v>6</v>
      </c>
      <c r="AH479" t="n">
        <v>3</v>
      </c>
      <c r="AI479" t="n">
        <v>4</v>
      </c>
      <c r="AJ479" t="n">
        <v>11</v>
      </c>
      <c r="AK479" t="n">
        <v>13</v>
      </c>
      <c r="AL479" t="n">
        <v>2</v>
      </c>
      <c r="AM479" t="n">
        <v>2</v>
      </c>
      <c r="AN479" t="n">
        <v>0</v>
      </c>
      <c r="AO479" t="n">
        <v>0</v>
      </c>
      <c r="AP479" t="inlineStr">
        <is>
          <t>No</t>
        </is>
      </c>
      <c r="AQ479" t="inlineStr">
        <is>
          <t>Yes</t>
        </is>
      </c>
      <c r="AR479">
        <f>HYPERLINK("http://catalog.hathitrust.org/Record/001534000","HathiTrust Record")</f>
        <v/>
      </c>
      <c r="AS479">
        <f>HYPERLINK("https://creighton-primo.hosted.exlibrisgroup.com/primo-explore/search?tab=default_tab&amp;search_scope=EVERYTHING&amp;vid=01CRU&amp;lang=en_US&amp;offset=0&amp;query=any,contains,991001341839702656","Catalog Record")</f>
        <v/>
      </c>
      <c r="AT479">
        <f>HYPERLINK("http://www.worldcat.org/oclc/18383468","WorldCat Record")</f>
        <v/>
      </c>
      <c r="AU479" t="inlineStr">
        <is>
          <t>17837969:eng</t>
        </is>
      </c>
      <c r="AV479" t="inlineStr">
        <is>
          <t>18383468</t>
        </is>
      </c>
      <c r="AW479" t="inlineStr">
        <is>
          <t>991001341839702656</t>
        </is>
      </c>
      <c r="AX479" t="inlineStr">
        <is>
          <t>991001341839702656</t>
        </is>
      </c>
      <c r="AY479" t="inlineStr">
        <is>
          <t>2259089580002656</t>
        </is>
      </c>
      <c r="AZ479" t="inlineStr">
        <is>
          <t>BOOK</t>
        </is>
      </c>
      <c r="BB479" t="inlineStr">
        <is>
          <t>9780415034395</t>
        </is>
      </c>
      <c r="BC479" t="inlineStr">
        <is>
          <t>32285000156876</t>
        </is>
      </c>
      <c r="BD479" t="inlineStr">
        <is>
          <t>893715377</t>
        </is>
      </c>
    </row>
    <row r="480">
      <c r="A480" t="inlineStr">
        <is>
          <t>No</t>
        </is>
      </c>
      <c r="B480" t="inlineStr">
        <is>
          <t>BF38 .E87 1982</t>
        </is>
      </c>
      <c r="C480" t="inlineStr">
        <is>
          <t>0                      BF 0038000E  87          1982</t>
        </is>
      </c>
      <c r="D480" t="inlineStr">
        <is>
          <t>Explaining human behavior : consciousness, human action, and social structure / Paul F. Secord, editor.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L480" t="inlineStr">
        <is>
          <t>Beverly Hills : Sage Publications, c1982.</t>
        </is>
      </c>
      <c r="M480" t="inlineStr">
        <is>
          <t>1982</t>
        </is>
      </c>
      <c r="O480" t="inlineStr">
        <is>
          <t>eng</t>
        </is>
      </c>
      <c r="P480" t="inlineStr">
        <is>
          <t>cau</t>
        </is>
      </c>
      <c r="R480" t="inlineStr">
        <is>
          <t xml:space="preserve">BF </t>
        </is>
      </c>
      <c r="S480" t="n">
        <v>3</v>
      </c>
      <c r="T480" t="n">
        <v>3</v>
      </c>
      <c r="U480" t="inlineStr">
        <is>
          <t>1999-02-24</t>
        </is>
      </c>
      <c r="V480" t="inlineStr">
        <is>
          <t>1999-02-24</t>
        </is>
      </c>
      <c r="W480" t="inlineStr">
        <is>
          <t>1990-07-13</t>
        </is>
      </c>
      <c r="X480" t="inlineStr">
        <is>
          <t>1990-07-13</t>
        </is>
      </c>
      <c r="Y480" t="n">
        <v>673</v>
      </c>
      <c r="Z480" t="n">
        <v>531</v>
      </c>
      <c r="AA480" t="n">
        <v>535</v>
      </c>
      <c r="AB480" t="n">
        <v>5</v>
      </c>
      <c r="AC480" t="n">
        <v>5</v>
      </c>
      <c r="AD480" t="n">
        <v>24</v>
      </c>
      <c r="AE480" t="n">
        <v>24</v>
      </c>
      <c r="AF480" t="n">
        <v>9</v>
      </c>
      <c r="AG480" t="n">
        <v>9</v>
      </c>
      <c r="AH480" t="n">
        <v>4</v>
      </c>
      <c r="AI480" t="n">
        <v>4</v>
      </c>
      <c r="AJ480" t="n">
        <v>13</v>
      </c>
      <c r="AK480" t="n">
        <v>13</v>
      </c>
      <c r="AL480" t="n">
        <v>4</v>
      </c>
      <c r="AM480" t="n">
        <v>4</v>
      </c>
      <c r="AN480" t="n">
        <v>0</v>
      </c>
      <c r="AO480" t="n">
        <v>0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HYPERLINK("http://catalog.hathitrust.org/Record/000102248","HathiTrust Record")</f>
        <v/>
      </c>
      <c r="AS480">
        <f>HYPERLINK("https://creighton-primo.hosted.exlibrisgroup.com/primo-explore/search?tab=default_tab&amp;search_scope=EVERYTHING&amp;vid=01CRU&amp;lang=en_US&amp;offset=0&amp;query=any,contains,991005219359702656","Catalog Record")</f>
        <v/>
      </c>
      <c r="AT480">
        <f>HYPERLINK("http://www.worldcat.org/oclc/8219267","WorldCat Record")</f>
        <v/>
      </c>
      <c r="AU480" t="inlineStr">
        <is>
          <t>836686246:eng</t>
        </is>
      </c>
      <c r="AV480" t="inlineStr">
        <is>
          <t>8219267</t>
        </is>
      </c>
      <c r="AW480" t="inlineStr">
        <is>
          <t>991005219359702656</t>
        </is>
      </c>
      <c r="AX480" t="inlineStr">
        <is>
          <t>991005219359702656</t>
        </is>
      </c>
      <c r="AY480" t="inlineStr">
        <is>
          <t>2254933540002656</t>
        </is>
      </c>
      <c r="AZ480" t="inlineStr">
        <is>
          <t>BOOK</t>
        </is>
      </c>
      <c r="BB480" t="inlineStr">
        <is>
          <t>9780803918221</t>
        </is>
      </c>
      <c r="BC480" t="inlineStr">
        <is>
          <t>32285000235407</t>
        </is>
      </c>
      <c r="BD480" t="inlineStr">
        <is>
          <t>893254665</t>
        </is>
      </c>
    </row>
    <row r="481">
      <c r="A481" t="inlineStr">
        <is>
          <t>No</t>
        </is>
      </c>
      <c r="B481" t="inlineStr">
        <is>
          <t>BF38 .G67</t>
        </is>
      </c>
      <c r="C481" t="inlineStr">
        <is>
          <t>0                      BF 0038000G  67</t>
        </is>
      </c>
      <c r="D481" t="inlineStr">
        <is>
          <t>Mind in science : a history of explanations in psychology and physics / Richard L. Gregory.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Gregory, R. L. (Richard Langton)</t>
        </is>
      </c>
      <c r="L481" t="inlineStr">
        <is>
          <t>Cambridge [Cambridgeshire] : Cambridge University Press, 1981.</t>
        </is>
      </c>
      <c r="M481" t="inlineStr">
        <is>
          <t>1981</t>
        </is>
      </c>
      <c r="O481" t="inlineStr">
        <is>
          <t>eng</t>
        </is>
      </c>
      <c r="P481" t="inlineStr">
        <is>
          <t>enk</t>
        </is>
      </c>
      <c r="R481" t="inlineStr">
        <is>
          <t xml:space="preserve">BF </t>
        </is>
      </c>
      <c r="S481" t="n">
        <v>6</v>
      </c>
      <c r="T481" t="n">
        <v>6</v>
      </c>
      <c r="U481" t="inlineStr">
        <is>
          <t>2003-12-20</t>
        </is>
      </c>
      <c r="V481" t="inlineStr">
        <is>
          <t>2003-12-20</t>
        </is>
      </c>
      <c r="W481" t="inlineStr">
        <is>
          <t>1990-07-13</t>
        </is>
      </c>
      <c r="X481" t="inlineStr">
        <is>
          <t>1990-07-13</t>
        </is>
      </c>
      <c r="Y481" t="n">
        <v>662</v>
      </c>
      <c r="Z481" t="n">
        <v>599</v>
      </c>
      <c r="AA481" t="n">
        <v>634</v>
      </c>
      <c r="AB481" t="n">
        <v>2</v>
      </c>
      <c r="AC481" t="n">
        <v>2</v>
      </c>
      <c r="AD481" t="n">
        <v>23</v>
      </c>
      <c r="AE481" t="n">
        <v>23</v>
      </c>
      <c r="AF481" t="n">
        <v>9</v>
      </c>
      <c r="AG481" t="n">
        <v>9</v>
      </c>
      <c r="AH481" t="n">
        <v>3</v>
      </c>
      <c r="AI481" t="n">
        <v>3</v>
      </c>
      <c r="AJ481" t="n">
        <v>15</v>
      </c>
      <c r="AK481" t="n">
        <v>15</v>
      </c>
      <c r="AL481" t="n">
        <v>1</v>
      </c>
      <c r="AM481" t="n">
        <v>1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HYPERLINK("https://creighton-primo.hosted.exlibrisgroup.com/primo-explore/search?tab=default_tab&amp;search_scope=EVERYTHING&amp;vid=01CRU&amp;lang=en_US&amp;offset=0&amp;query=any,contains,991005135379702656","Catalog Record")</f>
        <v/>
      </c>
      <c r="AT481">
        <f>HYPERLINK("http://www.worldcat.org/oclc/7576482","WorldCat Record")</f>
        <v/>
      </c>
      <c r="AU481" t="inlineStr">
        <is>
          <t>3728511:eng</t>
        </is>
      </c>
      <c r="AV481" t="inlineStr">
        <is>
          <t>7576482</t>
        </is>
      </c>
      <c r="AW481" t="inlineStr">
        <is>
          <t>991005135379702656</t>
        </is>
      </c>
      <c r="AX481" t="inlineStr">
        <is>
          <t>991005135379702656</t>
        </is>
      </c>
      <c r="AY481" t="inlineStr">
        <is>
          <t>2262539110002656</t>
        </is>
      </c>
      <c r="AZ481" t="inlineStr">
        <is>
          <t>BOOK</t>
        </is>
      </c>
      <c r="BB481" t="inlineStr">
        <is>
          <t>9780521243070</t>
        </is>
      </c>
      <c r="BC481" t="inlineStr">
        <is>
          <t>32285000235423</t>
        </is>
      </c>
      <c r="BD481" t="inlineStr">
        <is>
          <t>893338567</t>
        </is>
      </c>
    </row>
    <row r="482">
      <c r="A482" t="inlineStr">
        <is>
          <t>No</t>
        </is>
      </c>
      <c r="B482" t="inlineStr">
        <is>
          <t>BF38 .I48 1984</t>
        </is>
      </c>
      <c r="C482" t="inlineStr">
        <is>
          <t>0                      BF 0038000I  48          1984</t>
        </is>
      </c>
      <c r="D482" t="inlineStr">
        <is>
          <t>In the shadow of the past : psychology portrays the sexes : a social and intellectual history / Miriam Lewin, editor.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L482" t="inlineStr">
        <is>
          <t>New York : Columbia University Press, 1984.</t>
        </is>
      </c>
      <c r="M482" t="inlineStr">
        <is>
          <t>1983</t>
        </is>
      </c>
      <c r="O482" t="inlineStr">
        <is>
          <t>eng</t>
        </is>
      </c>
      <c r="P482" t="inlineStr">
        <is>
          <t>nyu</t>
        </is>
      </c>
      <c r="Q482" t="inlineStr">
        <is>
          <t>Publications for the advancement of theory and history in psychology</t>
        </is>
      </c>
      <c r="R482" t="inlineStr">
        <is>
          <t xml:space="preserve">BF </t>
        </is>
      </c>
      <c r="S482" t="n">
        <v>2</v>
      </c>
      <c r="T482" t="n">
        <v>2</v>
      </c>
      <c r="U482" t="inlineStr">
        <is>
          <t>1997-09-30</t>
        </is>
      </c>
      <c r="V482" t="inlineStr">
        <is>
          <t>1997-09-30</t>
        </is>
      </c>
      <c r="W482" t="inlineStr">
        <is>
          <t>1990-07-13</t>
        </is>
      </c>
      <c r="X482" t="inlineStr">
        <is>
          <t>1990-07-13</t>
        </is>
      </c>
      <c r="Y482" t="n">
        <v>819</v>
      </c>
      <c r="Z482" t="n">
        <v>711</v>
      </c>
      <c r="AA482" t="n">
        <v>719</v>
      </c>
      <c r="AB482" t="n">
        <v>5</v>
      </c>
      <c r="AC482" t="n">
        <v>5</v>
      </c>
      <c r="AD482" t="n">
        <v>31</v>
      </c>
      <c r="AE482" t="n">
        <v>31</v>
      </c>
      <c r="AF482" t="n">
        <v>9</v>
      </c>
      <c r="AG482" t="n">
        <v>9</v>
      </c>
      <c r="AH482" t="n">
        <v>7</v>
      </c>
      <c r="AI482" t="n">
        <v>7</v>
      </c>
      <c r="AJ482" t="n">
        <v>18</v>
      </c>
      <c r="AK482" t="n">
        <v>18</v>
      </c>
      <c r="AL482" t="n">
        <v>4</v>
      </c>
      <c r="AM482" t="n">
        <v>4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HYPERLINK("https://creighton-primo.hosted.exlibrisgroup.com/primo-explore/search?tab=default_tab&amp;search_scope=EVERYTHING&amp;vid=01CRU&amp;lang=en_US&amp;offset=0&amp;query=any,contains,991000214049702656","Catalog Record")</f>
        <v/>
      </c>
      <c r="AT482">
        <f>HYPERLINK("http://www.worldcat.org/oclc/9557055","WorldCat Record")</f>
        <v/>
      </c>
      <c r="AU482" t="inlineStr">
        <is>
          <t>836619485:eng</t>
        </is>
      </c>
      <c r="AV482" t="inlineStr">
        <is>
          <t>9557055</t>
        </is>
      </c>
      <c r="AW482" t="inlineStr">
        <is>
          <t>991000214049702656</t>
        </is>
      </c>
      <c r="AX482" t="inlineStr">
        <is>
          <t>991000214049702656</t>
        </is>
      </c>
      <c r="AY482" t="inlineStr">
        <is>
          <t>2266696260002656</t>
        </is>
      </c>
      <c r="AZ482" t="inlineStr">
        <is>
          <t>BOOK</t>
        </is>
      </c>
      <c r="BB482" t="inlineStr">
        <is>
          <t>9780231053037</t>
        </is>
      </c>
      <c r="BC482" t="inlineStr">
        <is>
          <t>32285000235456</t>
        </is>
      </c>
      <c r="BD482" t="inlineStr">
        <is>
          <t>893508624</t>
        </is>
      </c>
    </row>
    <row r="483">
      <c r="A483" t="inlineStr">
        <is>
          <t>No</t>
        </is>
      </c>
      <c r="B483" t="inlineStr">
        <is>
          <t>BF38 .L32</t>
        </is>
      </c>
      <c r="C483" t="inlineStr">
        <is>
          <t>0                      BF 0038000L  32</t>
        </is>
      </c>
      <c r="D483" t="inlineStr">
        <is>
          <t>The foundations of psychological theory / Robert E. Lana.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Lana, Robert E., 1932-2006.</t>
        </is>
      </c>
      <c r="L483" t="inlineStr">
        <is>
          <t>Hillsdale, N.J. : L. Erlbaum Associates ; New York : distributed by the Halsted Press Division of Wiley, 1976.</t>
        </is>
      </c>
      <c r="M483" t="inlineStr">
        <is>
          <t>1976</t>
        </is>
      </c>
      <c r="O483" t="inlineStr">
        <is>
          <t>eng</t>
        </is>
      </c>
      <c r="P483" t="inlineStr">
        <is>
          <t>nju</t>
        </is>
      </c>
      <c r="R483" t="inlineStr">
        <is>
          <t xml:space="preserve">BF </t>
        </is>
      </c>
      <c r="S483" t="n">
        <v>2</v>
      </c>
      <c r="T483" t="n">
        <v>2</v>
      </c>
      <c r="U483" t="inlineStr">
        <is>
          <t>2010-04-05</t>
        </is>
      </c>
      <c r="V483" t="inlineStr">
        <is>
          <t>2010-04-05</t>
        </is>
      </c>
      <c r="W483" t="inlineStr">
        <is>
          <t>1996-07-22</t>
        </is>
      </c>
      <c r="X483" t="inlineStr">
        <is>
          <t>1996-07-22</t>
        </is>
      </c>
      <c r="Y483" t="n">
        <v>447</v>
      </c>
      <c r="Z483" t="n">
        <v>364</v>
      </c>
      <c r="AA483" t="n">
        <v>401</v>
      </c>
      <c r="AB483" t="n">
        <v>4</v>
      </c>
      <c r="AC483" t="n">
        <v>4</v>
      </c>
      <c r="AD483" t="n">
        <v>16</v>
      </c>
      <c r="AE483" t="n">
        <v>16</v>
      </c>
      <c r="AF483" t="n">
        <v>6</v>
      </c>
      <c r="AG483" t="n">
        <v>6</v>
      </c>
      <c r="AH483" t="n">
        <v>3</v>
      </c>
      <c r="AI483" t="n">
        <v>3</v>
      </c>
      <c r="AJ483" t="n">
        <v>8</v>
      </c>
      <c r="AK483" t="n">
        <v>8</v>
      </c>
      <c r="AL483" t="n">
        <v>3</v>
      </c>
      <c r="AM483" t="n">
        <v>3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HYPERLINK("http://catalog.hathitrust.org/Record/006242077","HathiTrust Record")</f>
        <v/>
      </c>
      <c r="AS483">
        <f>HYPERLINK("https://creighton-primo.hosted.exlibrisgroup.com/primo-explore/search?tab=default_tab&amp;search_scope=EVERYTHING&amp;vid=01CRU&amp;lang=en_US&amp;offset=0&amp;query=any,contains,991004041639702656","Catalog Record")</f>
        <v/>
      </c>
      <c r="AT483">
        <f>HYPERLINK("http://www.worldcat.org/oclc/2189042","WorldCat Record")</f>
        <v/>
      </c>
      <c r="AU483" t="inlineStr">
        <is>
          <t>4281491:eng</t>
        </is>
      </c>
      <c r="AV483" t="inlineStr">
        <is>
          <t>2189042</t>
        </is>
      </c>
      <c r="AW483" t="inlineStr">
        <is>
          <t>991004041639702656</t>
        </is>
      </c>
      <c r="AX483" t="inlineStr">
        <is>
          <t>991004041639702656</t>
        </is>
      </c>
      <c r="AY483" t="inlineStr">
        <is>
          <t>2265192940002656</t>
        </is>
      </c>
      <c r="AZ483" t="inlineStr">
        <is>
          <t>BOOK</t>
        </is>
      </c>
      <c r="BB483" t="inlineStr">
        <is>
          <t>9780470151228</t>
        </is>
      </c>
      <c r="BC483" t="inlineStr">
        <is>
          <t>32285002233004</t>
        </is>
      </c>
      <c r="BD483" t="inlineStr">
        <is>
          <t>893881981</t>
        </is>
      </c>
    </row>
    <row r="484">
      <c r="A484" t="inlineStr">
        <is>
          <t>No</t>
        </is>
      </c>
      <c r="B484" t="inlineStr">
        <is>
          <t>BF38 .M37 1984</t>
        </is>
      </c>
      <c r="C484" t="inlineStr">
        <is>
          <t>0                      BF 0038000M  37          1984</t>
        </is>
      </c>
      <c r="D484" t="inlineStr">
        <is>
          <t>Philosophy of psychology / Joseph Margolis.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Margolis, Joseph, 1924-</t>
        </is>
      </c>
      <c r="L484" t="inlineStr">
        <is>
          <t>Englewood Cliffs, N.J. : Prentice-Hall, c1984.</t>
        </is>
      </c>
      <c r="M484" t="inlineStr">
        <is>
          <t>1984</t>
        </is>
      </c>
      <c r="O484" t="inlineStr">
        <is>
          <t>eng</t>
        </is>
      </c>
      <c r="P484" t="inlineStr">
        <is>
          <t>nju</t>
        </is>
      </c>
      <c r="Q484" t="inlineStr">
        <is>
          <t>Prentice-Hall foundations of philosophy series</t>
        </is>
      </c>
      <c r="R484" t="inlineStr">
        <is>
          <t xml:space="preserve">BF </t>
        </is>
      </c>
      <c r="S484" t="n">
        <v>2</v>
      </c>
      <c r="T484" t="n">
        <v>2</v>
      </c>
      <c r="U484" t="inlineStr">
        <is>
          <t>2009-04-08</t>
        </is>
      </c>
      <c r="V484" t="inlineStr">
        <is>
          <t>2009-04-08</t>
        </is>
      </c>
      <c r="W484" t="inlineStr">
        <is>
          <t>1996-08-28</t>
        </is>
      </c>
      <c r="X484" t="inlineStr">
        <is>
          <t>1996-08-28</t>
        </is>
      </c>
      <c r="Y484" t="n">
        <v>313</v>
      </c>
      <c r="Z484" t="n">
        <v>210</v>
      </c>
      <c r="AA484" t="n">
        <v>217</v>
      </c>
      <c r="AB484" t="n">
        <v>2</v>
      </c>
      <c r="AC484" t="n">
        <v>2</v>
      </c>
      <c r="AD484" t="n">
        <v>13</v>
      </c>
      <c r="AE484" t="n">
        <v>13</v>
      </c>
      <c r="AF484" t="n">
        <v>3</v>
      </c>
      <c r="AG484" t="n">
        <v>3</v>
      </c>
      <c r="AH484" t="n">
        <v>4</v>
      </c>
      <c r="AI484" t="n">
        <v>4</v>
      </c>
      <c r="AJ484" t="n">
        <v>10</v>
      </c>
      <c r="AK484" t="n">
        <v>10</v>
      </c>
      <c r="AL484" t="n">
        <v>1</v>
      </c>
      <c r="AM484" t="n">
        <v>1</v>
      </c>
      <c r="AN484" t="n">
        <v>0</v>
      </c>
      <c r="AO484" t="n">
        <v>0</v>
      </c>
      <c r="AP484" t="inlineStr">
        <is>
          <t>No</t>
        </is>
      </c>
      <c r="AQ484" t="inlineStr">
        <is>
          <t>Yes</t>
        </is>
      </c>
      <c r="AR484">
        <f>HYPERLINK("http://catalog.hathitrust.org/Record/006237566","HathiTrust Record")</f>
        <v/>
      </c>
      <c r="AS484">
        <f>HYPERLINK("https://creighton-primo.hosted.exlibrisgroup.com/primo-explore/search?tab=default_tab&amp;search_scope=EVERYTHING&amp;vid=01CRU&amp;lang=en_US&amp;offset=0&amp;query=any,contains,991000238989702656","Catalog Record")</f>
        <v/>
      </c>
      <c r="AT484">
        <f>HYPERLINK("http://www.worldcat.org/oclc/9682581","WorldCat Record")</f>
        <v/>
      </c>
      <c r="AU484" t="inlineStr">
        <is>
          <t>43721349:eng</t>
        </is>
      </c>
      <c r="AV484" t="inlineStr">
        <is>
          <t>9682581</t>
        </is>
      </c>
      <c r="AW484" t="inlineStr">
        <is>
          <t>991000238989702656</t>
        </is>
      </c>
      <c r="AX484" t="inlineStr">
        <is>
          <t>991000238989702656</t>
        </is>
      </c>
      <c r="AY484" t="inlineStr">
        <is>
          <t>2263999300002656</t>
        </is>
      </c>
      <c r="AZ484" t="inlineStr">
        <is>
          <t>BOOK</t>
        </is>
      </c>
      <c r="BB484" t="inlineStr">
        <is>
          <t>9780136643265</t>
        </is>
      </c>
      <c r="BC484" t="inlineStr">
        <is>
          <t>32285002284809</t>
        </is>
      </c>
      <c r="BD484" t="inlineStr">
        <is>
          <t>893508645</t>
        </is>
      </c>
    </row>
    <row r="485">
      <c r="A485" t="inlineStr">
        <is>
          <t>No</t>
        </is>
      </c>
      <c r="B485" t="inlineStr">
        <is>
          <t>BF38 .M38</t>
        </is>
      </c>
      <c r="C485" t="inlineStr">
        <is>
          <t>0                      BF 0038000M  38</t>
        </is>
      </c>
      <c r="D485" t="inlineStr">
        <is>
          <t>Systems and theories in psychology / by Melvin H. Marx and William A. Hillix.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Marx, Melvin Herman.</t>
        </is>
      </c>
      <c r="L485" t="inlineStr">
        <is>
          <t>New York : McGraw-Hill, [1963]</t>
        </is>
      </c>
      <c r="M485" t="inlineStr">
        <is>
          <t>1963</t>
        </is>
      </c>
      <c r="O485" t="inlineStr">
        <is>
          <t>eng</t>
        </is>
      </c>
      <c r="P485" t="inlineStr">
        <is>
          <t>nyu</t>
        </is>
      </c>
      <c r="Q485" t="inlineStr">
        <is>
          <t>McGraw-Hill series in psychology</t>
        </is>
      </c>
      <c r="R485" t="inlineStr">
        <is>
          <t xml:space="preserve">BF </t>
        </is>
      </c>
      <c r="S485" t="n">
        <v>2</v>
      </c>
      <c r="T485" t="n">
        <v>2</v>
      </c>
      <c r="U485" t="inlineStr">
        <is>
          <t>1993-02-01</t>
        </is>
      </c>
      <c r="V485" t="inlineStr">
        <is>
          <t>1993-02-01</t>
        </is>
      </c>
      <c r="W485" t="inlineStr">
        <is>
          <t>1992-01-28</t>
        </is>
      </c>
      <c r="X485" t="inlineStr">
        <is>
          <t>1992-01-28</t>
        </is>
      </c>
      <c r="Y485" t="n">
        <v>739</v>
      </c>
      <c r="Z485" t="n">
        <v>589</v>
      </c>
      <c r="AA485" t="n">
        <v>1066</v>
      </c>
      <c r="AB485" t="n">
        <v>5</v>
      </c>
      <c r="AC485" t="n">
        <v>8</v>
      </c>
      <c r="AD485" t="n">
        <v>25</v>
      </c>
      <c r="AE485" t="n">
        <v>44</v>
      </c>
      <c r="AF485" t="n">
        <v>8</v>
      </c>
      <c r="AG485" t="n">
        <v>18</v>
      </c>
      <c r="AH485" t="n">
        <v>4</v>
      </c>
      <c r="AI485" t="n">
        <v>8</v>
      </c>
      <c r="AJ485" t="n">
        <v>12</v>
      </c>
      <c r="AK485" t="n">
        <v>22</v>
      </c>
      <c r="AL485" t="n">
        <v>4</v>
      </c>
      <c r="AM485" t="n">
        <v>7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HYPERLINK("http://catalog.hathitrust.org/Record/000579672","HathiTrust Record")</f>
        <v/>
      </c>
      <c r="AS485">
        <f>HYPERLINK("https://creighton-primo.hosted.exlibrisgroup.com/primo-explore/search?tab=default_tab&amp;search_scope=EVERYTHING&amp;vid=01CRU&amp;lang=en_US&amp;offset=0&amp;query=any,contains,991001198149702656","Catalog Record")</f>
        <v/>
      </c>
      <c r="AT485">
        <f>HYPERLINK("http://www.worldcat.org/oclc/191357","WorldCat Record")</f>
        <v/>
      </c>
      <c r="AU485" t="inlineStr">
        <is>
          <t>980491:eng</t>
        </is>
      </c>
      <c r="AV485" t="inlineStr">
        <is>
          <t>191357</t>
        </is>
      </c>
      <c r="AW485" t="inlineStr">
        <is>
          <t>991001198149702656</t>
        </is>
      </c>
      <c r="AX485" t="inlineStr">
        <is>
          <t>991001198149702656</t>
        </is>
      </c>
      <c r="AY485" t="inlineStr">
        <is>
          <t>2258824060002656</t>
        </is>
      </c>
      <c r="AZ485" t="inlineStr">
        <is>
          <t>BOOK</t>
        </is>
      </c>
      <c r="BC485" t="inlineStr">
        <is>
          <t>32285000919125</t>
        </is>
      </c>
      <c r="BD485" t="inlineStr">
        <is>
          <t>893528744</t>
        </is>
      </c>
    </row>
    <row r="486">
      <c r="A486" t="inlineStr">
        <is>
          <t>No</t>
        </is>
      </c>
      <c r="B486" t="inlineStr">
        <is>
          <t>BF38 .P47</t>
        </is>
      </c>
      <c r="C486" t="inlineStr">
        <is>
          <t>0                      BF 0038000P  47</t>
        </is>
      </c>
      <c r="D486" t="inlineStr">
        <is>
          <t>The Philosophy of mind / edited by Jonathan Glover.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L486" t="inlineStr">
        <is>
          <t>Oxford ; New York : Oxford University Press, 1976.</t>
        </is>
      </c>
      <c r="M486" t="inlineStr">
        <is>
          <t>1976</t>
        </is>
      </c>
      <c r="O486" t="inlineStr">
        <is>
          <t>eng</t>
        </is>
      </c>
      <c r="P486" t="inlineStr">
        <is>
          <t>enk</t>
        </is>
      </c>
      <c r="Q486" t="inlineStr">
        <is>
          <t>Oxford readings in philosophy</t>
        </is>
      </c>
      <c r="R486" t="inlineStr">
        <is>
          <t xml:space="preserve">BF </t>
        </is>
      </c>
      <c r="S486" t="n">
        <v>2</v>
      </c>
      <c r="T486" t="n">
        <v>2</v>
      </c>
      <c r="U486" t="inlineStr">
        <is>
          <t>2008-12-08</t>
        </is>
      </c>
      <c r="V486" t="inlineStr">
        <is>
          <t>2008-12-08</t>
        </is>
      </c>
      <c r="W486" t="inlineStr">
        <is>
          <t>1990-07-13</t>
        </is>
      </c>
      <c r="X486" t="inlineStr">
        <is>
          <t>1990-07-13</t>
        </is>
      </c>
      <c r="Y486" t="n">
        <v>521</v>
      </c>
      <c r="Z486" t="n">
        <v>322</v>
      </c>
      <c r="AA486" t="n">
        <v>332</v>
      </c>
      <c r="AB486" t="n">
        <v>2</v>
      </c>
      <c r="AC486" t="n">
        <v>2</v>
      </c>
      <c r="AD486" t="n">
        <v>15</v>
      </c>
      <c r="AE486" t="n">
        <v>15</v>
      </c>
      <c r="AF486" t="n">
        <v>5</v>
      </c>
      <c r="AG486" t="n">
        <v>5</v>
      </c>
      <c r="AH486" t="n">
        <v>4</v>
      </c>
      <c r="AI486" t="n">
        <v>4</v>
      </c>
      <c r="AJ486" t="n">
        <v>11</v>
      </c>
      <c r="AK486" t="n">
        <v>11</v>
      </c>
      <c r="AL486" t="n">
        <v>1</v>
      </c>
      <c r="AM486" t="n">
        <v>1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HYPERLINK("http://catalog.hathitrust.org/Record/002557139","HathiTrust Record")</f>
        <v/>
      </c>
      <c r="AS486">
        <f>HYPERLINK("https://creighton-primo.hosted.exlibrisgroup.com/primo-explore/search?tab=default_tab&amp;search_scope=EVERYTHING&amp;vid=01CRU&amp;lang=en_US&amp;offset=0&amp;query=any,contains,991004382579702656","Catalog Record")</f>
        <v/>
      </c>
      <c r="AT486">
        <f>HYPERLINK("http://www.worldcat.org/oclc/3224659","WorldCat Record")</f>
        <v/>
      </c>
      <c r="AU486" t="inlineStr">
        <is>
          <t>54179881:eng</t>
        </is>
      </c>
      <c r="AV486" t="inlineStr">
        <is>
          <t>3224659</t>
        </is>
      </c>
      <c r="AW486" t="inlineStr">
        <is>
          <t>991004382579702656</t>
        </is>
      </c>
      <c r="AX486" t="inlineStr">
        <is>
          <t>991004382579702656</t>
        </is>
      </c>
      <c r="AY486" t="inlineStr">
        <is>
          <t>2258554420002656</t>
        </is>
      </c>
      <c r="AZ486" t="inlineStr">
        <is>
          <t>BOOK</t>
        </is>
      </c>
      <c r="BB486" t="inlineStr">
        <is>
          <t>9780198750383</t>
        </is>
      </c>
      <c r="BC486" t="inlineStr">
        <is>
          <t>32285000235498</t>
        </is>
      </c>
      <c r="BD486" t="inlineStr">
        <is>
          <t>893353374</t>
        </is>
      </c>
    </row>
    <row r="487">
      <c r="A487" t="inlineStr">
        <is>
          <t>No</t>
        </is>
      </c>
      <c r="B487" t="inlineStr">
        <is>
          <t>BF38 .R35</t>
        </is>
      </c>
      <c r="C487" t="inlineStr">
        <is>
          <t>0                      BF 0038000R  35</t>
        </is>
      </c>
      <c r="D487" t="inlineStr">
        <is>
          <t>Readings in philosophy of psychology / edited by Ned Block.</t>
        </is>
      </c>
      <c r="E487" t="inlineStr">
        <is>
          <t>V.1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L487" t="inlineStr">
        <is>
          <t>Cambridge, Mass. : Harvard University Press, 1980-</t>
        </is>
      </c>
      <c r="M487" t="inlineStr">
        <is>
          <t>1980</t>
        </is>
      </c>
      <c r="O487" t="inlineStr">
        <is>
          <t>eng</t>
        </is>
      </c>
      <c r="P487" t="inlineStr">
        <is>
          <t>mau</t>
        </is>
      </c>
      <c r="Q487" t="inlineStr">
        <is>
          <t>The Language and thought series</t>
        </is>
      </c>
      <c r="R487" t="inlineStr">
        <is>
          <t xml:space="preserve">BF </t>
        </is>
      </c>
      <c r="S487" t="n">
        <v>5</v>
      </c>
      <c r="T487" t="n">
        <v>5</v>
      </c>
      <c r="U487" t="inlineStr">
        <is>
          <t>2001-04-17</t>
        </is>
      </c>
      <c r="V487" t="inlineStr">
        <is>
          <t>2001-04-17</t>
        </is>
      </c>
      <c r="W487" t="inlineStr">
        <is>
          <t>1992-05-05</t>
        </is>
      </c>
      <c r="X487" t="inlineStr">
        <is>
          <t>1992-05-05</t>
        </is>
      </c>
      <c r="Y487" t="n">
        <v>652</v>
      </c>
      <c r="Z487" t="n">
        <v>505</v>
      </c>
      <c r="AA487" t="n">
        <v>511</v>
      </c>
      <c r="AB487" t="n">
        <v>2</v>
      </c>
      <c r="AC487" t="n">
        <v>2</v>
      </c>
      <c r="AD487" t="n">
        <v>27</v>
      </c>
      <c r="AE487" t="n">
        <v>27</v>
      </c>
      <c r="AF487" t="n">
        <v>12</v>
      </c>
      <c r="AG487" t="n">
        <v>12</v>
      </c>
      <c r="AH487" t="n">
        <v>7</v>
      </c>
      <c r="AI487" t="n">
        <v>7</v>
      </c>
      <c r="AJ487" t="n">
        <v>17</v>
      </c>
      <c r="AK487" t="n">
        <v>17</v>
      </c>
      <c r="AL487" t="n">
        <v>1</v>
      </c>
      <c r="AM487" t="n">
        <v>1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HYPERLINK("http://catalog.hathitrust.org/Record/000266624","HathiTrust Record")</f>
        <v/>
      </c>
      <c r="AS487">
        <f>HYPERLINK("https://creighton-primo.hosted.exlibrisgroup.com/primo-explore/search?tab=default_tab&amp;search_scope=EVERYTHING&amp;vid=01CRU&amp;lang=en_US&amp;offset=0&amp;query=any,contains,991004883719702656","Catalog Record")</f>
        <v/>
      </c>
      <c r="AT487">
        <f>HYPERLINK("http://www.worldcat.org/oclc/5830523","WorldCat Record")</f>
        <v/>
      </c>
      <c r="AU487" t="inlineStr">
        <is>
          <t>2863471615:eng</t>
        </is>
      </c>
      <c r="AV487" t="inlineStr">
        <is>
          <t>5830523</t>
        </is>
      </c>
      <c r="AW487" t="inlineStr">
        <is>
          <t>991004883719702656</t>
        </is>
      </c>
      <c r="AX487" t="inlineStr">
        <is>
          <t>991004883719702656</t>
        </is>
      </c>
      <c r="AY487" t="inlineStr">
        <is>
          <t>2260684890002656</t>
        </is>
      </c>
      <c r="AZ487" t="inlineStr">
        <is>
          <t>BOOK</t>
        </is>
      </c>
      <c r="BB487" t="inlineStr">
        <is>
          <t>9780674748750</t>
        </is>
      </c>
      <c r="BC487" t="inlineStr">
        <is>
          <t>32285001094712</t>
        </is>
      </c>
      <c r="BD487" t="inlineStr">
        <is>
          <t>893694449</t>
        </is>
      </c>
    </row>
    <row r="488">
      <c r="A488" t="inlineStr">
        <is>
          <t>No</t>
        </is>
      </c>
      <c r="B488" t="inlineStr">
        <is>
          <t>BF38 .S216</t>
        </is>
      </c>
      <c r="C488" t="inlineStr">
        <is>
          <t>0                      BF 0038000S  216</t>
        </is>
      </c>
      <c r="D488" t="inlineStr">
        <is>
          <t>Skinner's philosophy / by Paul T. Sagal.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Sagal, Paul T.</t>
        </is>
      </c>
      <c r="L488" t="inlineStr">
        <is>
          <t>Washington, D.C. : University Press of America, c1981.</t>
        </is>
      </c>
      <c r="M488" t="inlineStr">
        <is>
          <t>1981</t>
        </is>
      </c>
      <c r="O488" t="inlineStr">
        <is>
          <t>eng</t>
        </is>
      </c>
      <c r="P488" t="inlineStr">
        <is>
          <t>dcu</t>
        </is>
      </c>
      <c r="R488" t="inlineStr">
        <is>
          <t xml:space="preserve">BF </t>
        </is>
      </c>
      <c r="S488" t="n">
        <v>3</v>
      </c>
      <c r="T488" t="n">
        <v>3</v>
      </c>
      <c r="U488" t="inlineStr">
        <is>
          <t>1997-12-05</t>
        </is>
      </c>
      <c r="V488" t="inlineStr">
        <is>
          <t>1997-12-05</t>
        </is>
      </c>
      <c r="W488" t="inlineStr">
        <is>
          <t>1990-07-13</t>
        </is>
      </c>
      <c r="X488" t="inlineStr">
        <is>
          <t>1990-07-13</t>
        </is>
      </c>
      <c r="Y488" t="n">
        <v>581</v>
      </c>
      <c r="Z488" t="n">
        <v>516</v>
      </c>
      <c r="AA488" t="n">
        <v>518</v>
      </c>
      <c r="AB488" t="n">
        <v>5</v>
      </c>
      <c r="AC488" t="n">
        <v>5</v>
      </c>
      <c r="AD488" t="n">
        <v>27</v>
      </c>
      <c r="AE488" t="n">
        <v>27</v>
      </c>
      <c r="AF488" t="n">
        <v>13</v>
      </c>
      <c r="AG488" t="n">
        <v>13</v>
      </c>
      <c r="AH488" t="n">
        <v>5</v>
      </c>
      <c r="AI488" t="n">
        <v>5</v>
      </c>
      <c r="AJ488" t="n">
        <v>15</v>
      </c>
      <c r="AK488" t="n">
        <v>15</v>
      </c>
      <c r="AL488" t="n">
        <v>4</v>
      </c>
      <c r="AM488" t="n">
        <v>4</v>
      </c>
      <c r="AN488" t="n">
        <v>0</v>
      </c>
      <c r="AO488" t="n">
        <v>0</v>
      </c>
      <c r="AP488" t="inlineStr">
        <is>
          <t>No</t>
        </is>
      </c>
      <c r="AQ488" t="inlineStr">
        <is>
          <t>Yes</t>
        </is>
      </c>
      <c r="AR488">
        <f>HYPERLINK("http://catalog.hathitrust.org/Record/000221388","HathiTrust Record")</f>
        <v/>
      </c>
      <c r="AS488">
        <f>HYPERLINK("https://creighton-primo.hosted.exlibrisgroup.com/primo-explore/search?tab=default_tab&amp;search_scope=EVERYTHING&amp;vid=01CRU&amp;lang=en_US&amp;offset=0&amp;query=any,contains,991005086099702656","Catalog Record")</f>
        <v/>
      </c>
      <c r="AT488">
        <f>HYPERLINK("http://www.worldcat.org/oclc/7196743","WorldCat Record")</f>
        <v/>
      </c>
      <c r="AU488" t="inlineStr">
        <is>
          <t>483163:eng</t>
        </is>
      </c>
      <c r="AV488" t="inlineStr">
        <is>
          <t>7196743</t>
        </is>
      </c>
      <c r="AW488" t="inlineStr">
        <is>
          <t>991005086099702656</t>
        </is>
      </c>
      <c r="AX488" t="inlineStr">
        <is>
          <t>991005086099702656</t>
        </is>
      </c>
      <c r="AY488" t="inlineStr">
        <is>
          <t>2255776830002656</t>
        </is>
      </c>
      <c r="AZ488" t="inlineStr">
        <is>
          <t>BOOK</t>
        </is>
      </c>
      <c r="BB488" t="inlineStr">
        <is>
          <t>9780819114327</t>
        </is>
      </c>
      <c r="BC488" t="inlineStr">
        <is>
          <t>32285000235548</t>
        </is>
      </c>
      <c r="BD488" t="inlineStr">
        <is>
          <t>893889646</t>
        </is>
      </c>
    </row>
    <row r="489">
      <c r="A489" t="inlineStr">
        <is>
          <t>No</t>
        </is>
      </c>
      <c r="B489" t="inlineStr">
        <is>
          <t>BF38 .S677 1988</t>
        </is>
      </c>
      <c r="C489" t="inlineStr">
        <is>
          <t>0                      BF 0038000S  677         1988</t>
        </is>
      </c>
      <c r="D489" t="inlineStr">
        <is>
          <t>A history of psychological theories / Ross Stagner.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Stagner, Ross, 1909-1997.</t>
        </is>
      </c>
      <c r="L489" t="inlineStr">
        <is>
          <t>New York : Macmillan ; London : Collier Macmillan, c1988.</t>
        </is>
      </c>
      <c r="M489" t="inlineStr">
        <is>
          <t>1988</t>
        </is>
      </c>
      <c r="O489" t="inlineStr">
        <is>
          <t>eng</t>
        </is>
      </c>
      <c r="P489" t="inlineStr">
        <is>
          <t>nyu</t>
        </is>
      </c>
      <c r="R489" t="inlineStr">
        <is>
          <t xml:space="preserve">BF </t>
        </is>
      </c>
      <c r="S489" t="n">
        <v>4</v>
      </c>
      <c r="T489" t="n">
        <v>4</v>
      </c>
      <c r="U489" t="inlineStr">
        <is>
          <t>2001-11-05</t>
        </is>
      </c>
      <c r="V489" t="inlineStr">
        <is>
          <t>2001-11-05</t>
        </is>
      </c>
      <c r="W489" t="inlineStr">
        <is>
          <t>1992-10-23</t>
        </is>
      </c>
      <c r="X489" t="inlineStr">
        <is>
          <t>1992-10-23</t>
        </is>
      </c>
      <c r="Y489" t="n">
        <v>472</v>
      </c>
      <c r="Z489" t="n">
        <v>382</v>
      </c>
      <c r="AA489" t="n">
        <v>386</v>
      </c>
      <c r="AB489" t="n">
        <v>5</v>
      </c>
      <c r="AC489" t="n">
        <v>5</v>
      </c>
      <c r="AD489" t="n">
        <v>18</v>
      </c>
      <c r="AE489" t="n">
        <v>18</v>
      </c>
      <c r="AF489" t="n">
        <v>7</v>
      </c>
      <c r="AG489" t="n">
        <v>7</v>
      </c>
      <c r="AH489" t="n">
        <v>1</v>
      </c>
      <c r="AI489" t="n">
        <v>1</v>
      </c>
      <c r="AJ489" t="n">
        <v>9</v>
      </c>
      <c r="AK489" t="n">
        <v>9</v>
      </c>
      <c r="AL489" t="n">
        <v>4</v>
      </c>
      <c r="AM489" t="n">
        <v>4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HYPERLINK("http://catalog.hathitrust.org/Record/001104602","HathiTrust Record")</f>
        <v/>
      </c>
      <c r="AS489">
        <f>HYPERLINK("https://creighton-primo.hosted.exlibrisgroup.com/primo-explore/search?tab=default_tab&amp;search_scope=EVERYTHING&amp;vid=01CRU&amp;lang=en_US&amp;offset=0&amp;query=any,contains,991001098079702656","Catalog Record")</f>
        <v/>
      </c>
      <c r="AT489">
        <f>HYPERLINK("http://www.worldcat.org/oclc/16277573","WorldCat Record")</f>
        <v/>
      </c>
      <c r="AU489" t="inlineStr">
        <is>
          <t>356155520:eng</t>
        </is>
      </c>
      <c r="AV489" t="inlineStr">
        <is>
          <t>16277573</t>
        </is>
      </c>
      <c r="AW489" t="inlineStr">
        <is>
          <t>991001098079702656</t>
        </is>
      </c>
      <c r="AX489" t="inlineStr">
        <is>
          <t>991001098079702656</t>
        </is>
      </c>
      <c r="AY489" t="inlineStr">
        <is>
          <t>2260840210002656</t>
        </is>
      </c>
      <c r="AZ489" t="inlineStr">
        <is>
          <t>BOOK</t>
        </is>
      </c>
      <c r="BB489" t="inlineStr">
        <is>
          <t>9780024153906</t>
        </is>
      </c>
      <c r="BC489" t="inlineStr">
        <is>
          <t>32285001377604</t>
        </is>
      </c>
      <c r="BD489" t="inlineStr">
        <is>
          <t>893702727</t>
        </is>
      </c>
    </row>
    <row r="490">
      <c r="A490" t="inlineStr">
        <is>
          <t>No</t>
        </is>
      </c>
      <c r="B490" t="inlineStr">
        <is>
          <t>BF38 .T38 1988</t>
        </is>
      </c>
      <c r="C490" t="inlineStr">
        <is>
          <t>0                      BF 0038000T  38          1988</t>
        </is>
      </c>
      <c r="D490" t="inlineStr">
        <is>
          <t>Philosophy and the mind / Jenny Teichman.</t>
        </is>
      </c>
      <c r="F490" t="inlineStr">
        <is>
          <t>No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Teichman, Jenny.</t>
        </is>
      </c>
      <c r="L490" t="inlineStr">
        <is>
          <t>Oxford, OX, UK ; New York, NY, USA : B. Blackwell, 1988.</t>
        </is>
      </c>
      <c r="M490" t="inlineStr">
        <is>
          <t>1988</t>
        </is>
      </c>
      <c r="O490" t="inlineStr">
        <is>
          <t>eng</t>
        </is>
      </c>
      <c r="P490" t="inlineStr">
        <is>
          <t>enk</t>
        </is>
      </c>
      <c r="R490" t="inlineStr">
        <is>
          <t xml:space="preserve">BF </t>
        </is>
      </c>
      <c r="S490" t="n">
        <v>1</v>
      </c>
      <c r="T490" t="n">
        <v>1</v>
      </c>
      <c r="U490" t="inlineStr">
        <is>
          <t>2006-01-06</t>
        </is>
      </c>
      <c r="V490" t="inlineStr">
        <is>
          <t>2006-01-06</t>
        </is>
      </c>
      <c r="W490" t="inlineStr">
        <is>
          <t>1992-10-23</t>
        </is>
      </c>
      <c r="X490" t="inlineStr">
        <is>
          <t>1992-10-23</t>
        </is>
      </c>
      <c r="Y490" t="n">
        <v>398</v>
      </c>
      <c r="Z490" t="n">
        <v>276</v>
      </c>
      <c r="AA490" t="n">
        <v>281</v>
      </c>
      <c r="AB490" t="n">
        <v>3</v>
      </c>
      <c r="AC490" t="n">
        <v>3</v>
      </c>
      <c r="AD490" t="n">
        <v>18</v>
      </c>
      <c r="AE490" t="n">
        <v>18</v>
      </c>
      <c r="AF490" t="n">
        <v>8</v>
      </c>
      <c r="AG490" t="n">
        <v>8</v>
      </c>
      <c r="AH490" t="n">
        <v>3</v>
      </c>
      <c r="AI490" t="n">
        <v>3</v>
      </c>
      <c r="AJ490" t="n">
        <v>8</v>
      </c>
      <c r="AK490" t="n">
        <v>8</v>
      </c>
      <c r="AL490" t="n">
        <v>2</v>
      </c>
      <c r="AM490" t="n">
        <v>2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HYPERLINK("https://creighton-primo.hosted.exlibrisgroup.com/primo-explore/search?tab=default_tab&amp;search_scope=EVERYTHING&amp;vid=01CRU&amp;lang=en_US&amp;offset=0&amp;query=any,contains,991001236579702656","Catalog Record")</f>
        <v/>
      </c>
      <c r="AT490">
        <f>HYPERLINK("http://www.worldcat.org/oclc/17551598","WorldCat Record")</f>
        <v/>
      </c>
      <c r="AU490" t="inlineStr">
        <is>
          <t>15408522:eng</t>
        </is>
      </c>
      <c r="AV490" t="inlineStr">
        <is>
          <t>17551598</t>
        </is>
      </c>
      <c r="AW490" t="inlineStr">
        <is>
          <t>991001236579702656</t>
        </is>
      </c>
      <c r="AX490" t="inlineStr">
        <is>
          <t>991001236579702656</t>
        </is>
      </c>
      <c r="AY490" t="inlineStr">
        <is>
          <t>2260848170002656</t>
        </is>
      </c>
      <c r="AZ490" t="inlineStr">
        <is>
          <t>BOOK</t>
        </is>
      </c>
      <c r="BB490" t="inlineStr">
        <is>
          <t>9780631157533</t>
        </is>
      </c>
      <c r="BC490" t="inlineStr">
        <is>
          <t>32285001377612</t>
        </is>
      </c>
      <c r="BD490" t="inlineStr">
        <is>
          <t>893885157</t>
        </is>
      </c>
    </row>
    <row r="491">
      <c r="A491" t="inlineStr">
        <is>
          <t>No</t>
        </is>
      </c>
      <c r="B491" t="inlineStr">
        <is>
          <t>BF38 .W74</t>
        </is>
      </c>
      <c r="C491" t="inlineStr">
        <is>
          <t>0                      BF 0038000W  74</t>
        </is>
      </c>
      <c r="D491" t="inlineStr">
        <is>
          <t>Physicalism / by K. V. Wilkes.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Wilkes, Kathleen V.</t>
        </is>
      </c>
      <c r="L491" t="inlineStr">
        <is>
          <t>Atlantic Highlands, N.J. : Humanities Press, 1978.</t>
        </is>
      </c>
      <c r="M491" t="inlineStr">
        <is>
          <t>1978</t>
        </is>
      </c>
      <c r="O491" t="inlineStr">
        <is>
          <t>eng</t>
        </is>
      </c>
      <c r="P491" t="inlineStr">
        <is>
          <t>nju</t>
        </is>
      </c>
      <c r="Q491" t="inlineStr">
        <is>
          <t>Studies in philosophical psychology</t>
        </is>
      </c>
      <c r="R491" t="inlineStr">
        <is>
          <t xml:space="preserve">BF </t>
        </is>
      </c>
      <c r="S491" t="n">
        <v>4</v>
      </c>
      <c r="T491" t="n">
        <v>4</v>
      </c>
      <c r="U491" t="inlineStr">
        <is>
          <t>1997-04-27</t>
        </is>
      </c>
      <c r="V491" t="inlineStr">
        <is>
          <t>1997-04-27</t>
        </is>
      </c>
      <c r="W491" t="inlineStr">
        <is>
          <t>1992-09-22</t>
        </is>
      </c>
      <c r="X491" t="inlineStr">
        <is>
          <t>1992-09-22</t>
        </is>
      </c>
      <c r="Y491" t="n">
        <v>370</v>
      </c>
      <c r="Z491" t="n">
        <v>336</v>
      </c>
      <c r="AA491" t="n">
        <v>398</v>
      </c>
      <c r="AB491" t="n">
        <v>2</v>
      </c>
      <c r="AC491" t="n">
        <v>3</v>
      </c>
      <c r="AD491" t="n">
        <v>23</v>
      </c>
      <c r="AE491" t="n">
        <v>27</v>
      </c>
      <c r="AF491" t="n">
        <v>9</v>
      </c>
      <c r="AG491" t="n">
        <v>10</v>
      </c>
      <c r="AH491" t="n">
        <v>4</v>
      </c>
      <c r="AI491" t="n">
        <v>4</v>
      </c>
      <c r="AJ491" t="n">
        <v>13</v>
      </c>
      <c r="AK491" t="n">
        <v>16</v>
      </c>
      <c r="AL491" t="n">
        <v>1</v>
      </c>
      <c r="AM491" t="n">
        <v>2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HYPERLINK("http://catalog.hathitrust.org/Record/004442545","HathiTrust Record")</f>
        <v/>
      </c>
      <c r="AS491">
        <f>HYPERLINK("https://creighton-primo.hosted.exlibrisgroup.com/primo-explore/search?tab=default_tab&amp;search_scope=EVERYTHING&amp;vid=01CRU&amp;lang=en_US&amp;offset=0&amp;query=any,contains,991004476599702656","Catalog Record")</f>
        <v/>
      </c>
      <c r="AT491">
        <f>HYPERLINK("http://www.worldcat.org/oclc/3609528","WorldCat Record")</f>
        <v/>
      </c>
      <c r="AU491" t="inlineStr">
        <is>
          <t>11169668:eng</t>
        </is>
      </c>
      <c r="AV491" t="inlineStr">
        <is>
          <t>3609528</t>
        </is>
      </c>
      <c r="AW491" t="inlineStr">
        <is>
          <t>991004476599702656</t>
        </is>
      </c>
      <c r="AX491" t="inlineStr">
        <is>
          <t>991004476599702656</t>
        </is>
      </c>
      <c r="AY491" t="inlineStr">
        <is>
          <t>2271759250002656</t>
        </is>
      </c>
      <c r="AZ491" t="inlineStr">
        <is>
          <t>BOOK</t>
        </is>
      </c>
      <c r="BB491" t="inlineStr">
        <is>
          <t>9780391007413</t>
        </is>
      </c>
      <c r="BC491" t="inlineStr">
        <is>
          <t>32285001320943</t>
        </is>
      </c>
      <c r="BD491" t="inlineStr">
        <is>
          <t>893337775</t>
        </is>
      </c>
    </row>
    <row r="492">
      <c r="A492" t="inlineStr">
        <is>
          <t>No</t>
        </is>
      </c>
      <c r="B492" t="inlineStr">
        <is>
          <t>BF38.5 .P48 1974b</t>
        </is>
      </c>
      <c r="C492" t="inlineStr">
        <is>
          <t>0                      BF 0038500P  48          1974b</t>
        </is>
      </c>
      <c r="D492" t="inlineStr">
        <is>
          <t>Philosophy of psychology / edited by S. C. Brown.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L492" t="inlineStr">
        <is>
          <t>New York : Barnes &amp; Noble, [1974]</t>
        </is>
      </c>
      <c r="M492" t="inlineStr">
        <is>
          <t>1974</t>
        </is>
      </c>
      <c r="O492" t="inlineStr">
        <is>
          <t>eng</t>
        </is>
      </c>
      <c r="P492" t="inlineStr">
        <is>
          <t>nyu</t>
        </is>
      </c>
      <c r="R492" t="inlineStr">
        <is>
          <t xml:space="preserve">BF </t>
        </is>
      </c>
      <c r="S492" t="n">
        <v>2</v>
      </c>
      <c r="T492" t="n">
        <v>2</v>
      </c>
      <c r="U492" t="inlineStr">
        <is>
          <t>2006-12-04</t>
        </is>
      </c>
      <c r="V492" t="inlineStr">
        <is>
          <t>2006-12-04</t>
        </is>
      </c>
      <c r="W492" t="inlineStr">
        <is>
          <t>1994-01-24</t>
        </is>
      </c>
      <c r="X492" t="inlineStr">
        <is>
          <t>1994-01-24</t>
        </is>
      </c>
      <c r="Y492" t="n">
        <v>310</v>
      </c>
      <c r="Z492" t="n">
        <v>279</v>
      </c>
      <c r="AA492" t="n">
        <v>370</v>
      </c>
      <c r="AB492" t="n">
        <v>3</v>
      </c>
      <c r="AC492" t="n">
        <v>3</v>
      </c>
      <c r="AD492" t="n">
        <v>14</v>
      </c>
      <c r="AE492" t="n">
        <v>18</v>
      </c>
      <c r="AF492" t="n">
        <v>3</v>
      </c>
      <c r="AG492" t="n">
        <v>4</v>
      </c>
      <c r="AH492" t="n">
        <v>2</v>
      </c>
      <c r="AI492" t="n">
        <v>4</v>
      </c>
      <c r="AJ492" t="n">
        <v>10</v>
      </c>
      <c r="AK492" t="n">
        <v>12</v>
      </c>
      <c r="AL492" t="n">
        <v>2</v>
      </c>
      <c r="AM492" t="n">
        <v>2</v>
      </c>
      <c r="AN492" t="n">
        <v>0</v>
      </c>
      <c r="AO492" t="n">
        <v>0</v>
      </c>
      <c r="AP492" t="inlineStr">
        <is>
          <t>No</t>
        </is>
      </c>
      <c r="AQ492" t="inlineStr">
        <is>
          <t>Yes</t>
        </is>
      </c>
      <c r="AR492">
        <f>HYPERLINK("http://catalog.hathitrust.org/Record/006242082","HathiTrust Record")</f>
        <v/>
      </c>
      <c r="AS492">
        <f>HYPERLINK("https://creighton-primo.hosted.exlibrisgroup.com/primo-explore/search?tab=default_tab&amp;search_scope=EVERYTHING&amp;vid=01CRU&amp;lang=en_US&amp;offset=0&amp;query=any,contains,991003447019702656","Catalog Record")</f>
        <v/>
      </c>
      <c r="AT492">
        <f>HYPERLINK("http://www.worldcat.org/oclc/982652","WorldCat Record")</f>
        <v/>
      </c>
      <c r="AU492" t="inlineStr">
        <is>
          <t>365294669:eng</t>
        </is>
      </c>
      <c r="AV492" t="inlineStr">
        <is>
          <t>982652</t>
        </is>
      </c>
      <c r="AW492" t="inlineStr">
        <is>
          <t>991003447019702656</t>
        </is>
      </c>
      <c r="AX492" t="inlineStr">
        <is>
          <t>991003447019702656</t>
        </is>
      </c>
      <c r="AY492" t="inlineStr">
        <is>
          <t>2271924540002656</t>
        </is>
      </c>
      <c r="AZ492" t="inlineStr">
        <is>
          <t>BOOK</t>
        </is>
      </c>
      <c r="BC492" t="inlineStr">
        <is>
          <t>32285001835841</t>
        </is>
      </c>
      <c r="BD492" t="inlineStr">
        <is>
          <t>893240207</t>
        </is>
      </c>
    </row>
    <row r="493">
      <c r="A493" t="inlineStr">
        <is>
          <t>No</t>
        </is>
      </c>
      <c r="B493" t="inlineStr">
        <is>
          <t>BF38.5 .W53</t>
        </is>
      </c>
      <c r="C493" t="inlineStr">
        <is>
          <t>0                      BF 0038500W  53</t>
        </is>
      </c>
      <c r="D493" t="inlineStr">
        <is>
          <t>New pathways in psychology : Maslow and the post-Freudian revolution / Colin Wilson.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Wilson, Colin, 1931-2013.</t>
        </is>
      </c>
      <c r="L493" t="inlineStr">
        <is>
          <t>New York : Taplinger, 1972.</t>
        </is>
      </c>
      <c r="M493" t="inlineStr">
        <is>
          <t>1972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BF </t>
        </is>
      </c>
      <c r="S493" t="n">
        <v>3</v>
      </c>
      <c r="T493" t="n">
        <v>3</v>
      </c>
      <c r="U493" t="inlineStr">
        <is>
          <t>1997-02-14</t>
        </is>
      </c>
      <c r="V493" t="inlineStr">
        <is>
          <t>1997-02-14</t>
        </is>
      </c>
      <c r="W493" t="inlineStr">
        <is>
          <t>1996-07-22</t>
        </is>
      </c>
      <c r="X493" t="inlineStr">
        <is>
          <t>1996-07-22</t>
        </is>
      </c>
      <c r="Y493" t="n">
        <v>538</v>
      </c>
      <c r="Z493" t="n">
        <v>502</v>
      </c>
      <c r="AA493" t="n">
        <v>765</v>
      </c>
      <c r="AB493" t="n">
        <v>3</v>
      </c>
      <c r="AC493" t="n">
        <v>4</v>
      </c>
      <c r="AD493" t="n">
        <v>20</v>
      </c>
      <c r="AE493" t="n">
        <v>27</v>
      </c>
      <c r="AF493" t="n">
        <v>10</v>
      </c>
      <c r="AG493" t="n">
        <v>12</v>
      </c>
      <c r="AH493" t="n">
        <v>6</v>
      </c>
      <c r="AI493" t="n">
        <v>8</v>
      </c>
      <c r="AJ493" t="n">
        <v>11</v>
      </c>
      <c r="AK493" t="n">
        <v>14</v>
      </c>
      <c r="AL493" t="n">
        <v>2</v>
      </c>
      <c r="AM493" t="n">
        <v>3</v>
      </c>
      <c r="AN493" t="n">
        <v>0</v>
      </c>
      <c r="AO493" t="n">
        <v>0</v>
      </c>
      <c r="AP493" t="inlineStr">
        <is>
          <t>No</t>
        </is>
      </c>
      <c r="AQ493" t="inlineStr">
        <is>
          <t>Yes</t>
        </is>
      </c>
      <c r="AR493">
        <f>HYPERLINK("http://catalog.hathitrust.org/Record/009906627","HathiTrust Record")</f>
        <v/>
      </c>
      <c r="AS493">
        <f>HYPERLINK("https://creighton-primo.hosted.exlibrisgroup.com/primo-explore/search?tab=default_tab&amp;search_scope=EVERYTHING&amp;vid=01CRU&amp;lang=en_US&amp;offset=0&amp;query=any,contains,991004286339702656","Catalog Record")</f>
        <v/>
      </c>
      <c r="AT493">
        <f>HYPERLINK("http://www.worldcat.org/oclc/2926973","WorldCat Record")</f>
        <v/>
      </c>
      <c r="AU493" t="inlineStr">
        <is>
          <t>1570926:eng</t>
        </is>
      </c>
      <c r="AV493" t="inlineStr">
        <is>
          <t>2926973</t>
        </is>
      </c>
      <c r="AW493" t="inlineStr">
        <is>
          <t>991004286339702656</t>
        </is>
      </c>
      <c r="AX493" t="inlineStr">
        <is>
          <t>991004286339702656</t>
        </is>
      </c>
      <c r="AY493" t="inlineStr">
        <is>
          <t>2266698680002656</t>
        </is>
      </c>
      <c r="AZ493" t="inlineStr">
        <is>
          <t>BOOK</t>
        </is>
      </c>
      <c r="BB493" t="inlineStr">
        <is>
          <t>9780800855130</t>
        </is>
      </c>
      <c r="BC493" t="inlineStr">
        <is>
          <t>32285002233178</t>
        </is>
      </c>
      <c r="BD493" t="inlineStr">
        <is>
          <t>893875914</t>
        </is>
      </c>
    </row>
    <row r="494">
      <c r="A494" t="inlineStr">
        <is>
          <t>No</t>
        </is>
      </c>
      <c r="B494" t="inlineStr">
        <is>
          <t>BF39 .B3</t>
        </is>
      </c>
      <c r="C494" t="inlineStr">
        <is>
          <t>0                      BF 0039000B  3</t>
        </is>
      </c>
      <c r="D494" t="inlineStr">
        <is>
          <t>Intermediate correlational methods [by] Andrew R. Baggaley.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Baggaley, Andrew R.</t>
        </is>
      </c>
      <c r="L494" t="inlineStr">
        <is>
          <t>New York, J. Wiley [1964]</t>
        </is>
      </c>
      <c r="M494" t="inlineStr">
        <is>
          <t>1964</t>
        </is>
      </c>
      <c r="O494" t="inlineStr">
        <is>
          <t>eng</t>
        </is>
      </c>
      <c r="P494" t="inlineStr">
        <is>
          <t>nyu</t>
        </is>
      </c>
      <c r="R494" t="inlineStr">
        <is>
          <t xml:space="preserve">BF </t>
        </is>
      </c>
      <c r="S494" t="n">
        <v>1</v>
      </c>
      <c r="T494" t="n">
        <v>1</v>
      </c>
      <c r="U494" t="inlineStr">
        <is>
          <t>2001-04-21</t>
        </is>
      </c>
      <c r="V494" t="inlineStr">
        <is>
          <t>2001-04-21</t>
        </is>
      </c>
      <c r="W494" t="inlineStr">
        <is>
          <t>1996-07-23</t>
        </is>
      </c>
      <c r="X494" t="inlineStr">
        <is>
          <t>1996-07-23</t>
        </is>
      </c>
      <c r="Y494" t="n">
        <v>494</v>
      </c>
      <c r="Z494" t="n">
        <v>359</v>
      </c>
      <c r="AA494" t="n">
        <v>365</v>
      </c>
      <c r="AB494" t="n">
        <v>3</v>
      </c>
      <c r="AC494" t="n">
        <v>3</v>
      </c>
      <c r="AD494" t="n">
        <v>20</v>
      </c>
      <c r="AE494" t="n">
        <v>20</v>
      </c>
      <c r="AF494" t="n">
        <v>7</v>
      </c>
      <c r="AG494" t="n">
        <v>7</v>
      </c>
      <c r="AH494" t="n">
        <v>5</v>
      </c>
      <c r="AI494" t="n">
        <v>5</v>
      </c>
      <c r="AJ494" t="n">
        <v>13</v>
      </c>
      <c r="AK494" t="n">
        <v>13</v>
      </c>
      <c r="AL494" t="n">
        <v>2</v>
      </c>
      <c r="AM494" t="n">
        <v>2</v>
      </c>
      <c r="AN494" t="n">
        <v>0</v>
      </c>
      <c r="AO494" t="n">
        <v>0</v>
      </c>
      <c r="AP494" t="inlineStr">
        <is>
          <t>No</t>
        </is>
      </c>
      <c r="AQ494" t="inlineStr">
        <is>
          <t>Yes</t>
        </is>
      </c>
      <c r="AR494">
        <f>HYPERLINK("http://catalog.hathitrust.org/Record/000579375","HathiTrust Record")</f>
        <v/>
      </c>
      <c r="AS494">
        <f>HYPERLINK("https://creighton-primo.hosted.exlibrisgroup.com/primo-explore/search?tab=default_tab&amp;search_scope=EVERYTHING&amp;vid=01CRU&amp;lang=en_US&amp;offset=0&amp;query=any,contains,991001210129702656","Catalog Record")</f>
        <v/>
      </c>
      <c r="AT494">
        <f>HYPERLINK("http://www.worldcat.org/oclc/193120","WorldCat Record")</f>
        <v/>
      </c>
      <c r="AU494" t="inlineStr">
        <is>
          <t>1355938:eng</t>
        </is>
      </c>
      <c r="AV494" t="inlineStr">
        <is>
          <t>193120</t>
        </is>
      </c>
      <c r="AW494" t="inlineStr">
        <is>
          <t>991001210129702656</t>
        </is>
      </c>
      <c r="AX494" t="inlineStr">
        <is>
          <t>991001210129702656</t>
        </is>
      </c>
      <c r="AY494" t="inlineStr">
        <is>
          <t>2270880320002656</t>
        </is>
      </c>
      <c r="AZ494" t="inlineStr">
        <is>
          <t>BOOK</t>
        </is>
      </c>
      <c r="BC494" t="inlineStr">
        <is>
          <t>32285002233194</t>
        </is>
      </c>
      <c r="BD494" t="inlineStr">
        <is>
          <t>893534474</t>
        </is>
      </c>
    </row>
    <row r="495">
      <c r="A495" t="inlineStr">
        <is>
          <t>No</t>
        </is>
      </c>
      <c r="B495" t="inlineStr">
        <is>
          <t>BF39 .B445</t>
        </is>
      </c>
      <c r="C495" t="inlineStr">
        <is>
          <t>0                      BF 0039000B  445</t>
        </is>
      </c>
      <c r="D495" t="inlineStr">
        <is>
          <t>Questionnaires : design and use / by Douglas R. Berdie and John F. Anderson.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Berdie, Douglas R.</t>
        </is>
      </c>
      <c r="L495" t="inlineStr">
        <is>
          <t>Metuchen, N.J. : Scarecrow Press, 1974.</t>
        </is>
      </c>
      <c r="M495" t="inlineStr">
        <is>
          <t>1974</t>
        </is>
      </c>
      <c r="O495" t="inlineStr">
        <is>
          <t>eng</t>
        </is>
      </c>
      <c r="P495" t="inlineStr">
        <is>
          <t>nju</t>
        </is>
      </c>
      <c r="R495" t="inlineStr">
        <is>
          <t xml:space="preserve">BF </t>
        </is>
      </c>
      <c r="S495" t="n">
        <v>2</v>
      </c>
      <c r="T495" t="n">
        <v>2</v>
      </c>
      <c r="U495" t="inlineStr">
        <is>
          <t>1998-01-26</t>
        </is>
      </c>
      <c r="V495" t="inlineStr">
        <is>
          <t>1998-01-26</t>
        </is>
      </c>
      <c r="W495" t="inlineStr">
        <is>
          <t>1991-12-13</t>
        </is>
      </c>
      <c r="X495" t="inlineStr">
        <is>
          <t>1991-12-13</t>
        </is>
      </c>
      <c r="Y495" t="n">
        <v>743</v>
      </c>
      <c r="Z495" t="n">
        <v>609</v>
      </c>
      <c r="AA495" t="n">
        <v>945</v>
      </c>
      <c r="AB495" t="n">
        <v>4</v>
      </c>
      <c r="AC495" t="n">
        <v>6</v>
      </c>
      <c r="AD495" t="n">
        <v>21</v>
      </c>
      <c r="AE495" t="n">
        <v>36</v>
      </c>
      <c r="AF495" t="n">
        <v>8</v>
      </c>
      <c r="AG495" t="n">
        <v>14</v>
      </c>
      <c r="AH495" t="n">
        <v>5</v>
      </c>
      <c r="AI495" t="n">
        <v>8</v>
      </c>
      <c r="AJ495" t="n">
        <v>12</v>
      </c>
      <c r="AK495" t="n">
        <v>18</v>
      </c>
      <c r="AL495" t="n">
        <v>2</v>
      </c>
      <c r="AM495" t="n">
        <v>4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HYPERLINK("http://catalog.hathitrust.org/Record/000012801","HathiTrust Record")</f>
        <v/>
      </c>
      <c r="AS495">
        <f>HYPERLINK("https://creighton-primo.hosted.exlibrisgroup.com/primo-explore/search?tab=default_tab&amp;search_scope=EVERYTHING&amp;vid=01CRU&amp;lang=en_US&amp;offset=0&amp;query=any,contains,991003312459702656","Catalog Record")</f>
        <v/>
      </c>
      <c r="AT495">
        <f>HYPERLINK("http://www.worldcat.org/oclc/835435","WorldCat Record")</f>
        <v/>
      </c>
      <c r="AU495" t="inlineStr">
        <is>
          <t>1759829:eng</t>
        </is>
      </c>
      <c r="AV495" t="inlineStr">
        <is>
          <t>835435</t>
        </is>
      </c>
      <c r="AW495" t="inlineStr">
        <is>
          <t>991003312459702656</t>
        </is>
      </c>
      <c r="AX495" t="inlineStr">
        <is>
          <t>991003312459702656</t>
        </is>
      </c>
      <c r="AY495" t="inlineStr">
        <is>
          <t>2270421620002656</t>
        </is>
      </c>
      <c r="AZ495" t="inlineStr">
        <is>
          <t>BOOK</t>
        </is>
      </c>
      <c r="BB495" t="inlineStr">
        <is>
          <t>9780810807198</t>
        </is>
      </c>
      <c r="BC495" t="inlineStr">
        <is>
          <t>32285000900166</t>
        </is>
      </c>
      <c r="BD495" t="inlineStr">
        <is>
          <t>893711252</t>
        </is>
      </c>
    </row>
    <row r="496">
      <c r="A496" t="inlineStr">
        <is>
          <t>No</t>
        </is>
      </c>
      <c r="B496" t="inlineStr">
        <is>
          <t>BF39 .B5</t>
        </is>
      </c>
      <c r="C496" t="inlineStr">
        <is>
          <t>0                      BF 0039000B  5</t>
        </is>
      </c>
      <c r="D496" t="inlineStr">
        <is>
          <t>Descriptive statistics.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Blank, Stanley Solomon.</t>
        </is>
      </c>
      <c r="L496" t="inlineStr">
        <is>
          <t>New York, Appleton-Century-Crofts [c1968]</t>
        </is>
      </c>
      <c r="M496" t="inlineStr">
        <is>
          <t>1968</t>
        </is>
      </c>
      <c r="O496" t="inlineStr">
        <is>
          <t>eng</t>
        </is>
      </c>
      <c r="P496" t="inlineStr">
        <is>
          <t xml:space="preserve">xx </t>
        </is>
      </c>
      <c r="R496" t="inlineStr">
        <is>
          <t xml:space="preserve">BF </t>
        </is>
      </c>
      <c r="S496" t="n">
        <v>1</v>
      </c>
      <c r="T496" t="n">
        <v>1</v>
      </c>
      <c r="U496" t="inlineStr">
        <is>
          <t>2001-04-21</t>
        </is>
      </c>
      <c r="V496" t="inlineStr">
        <is>
          <t>2001-04-21</t>
        </is>
      </c>
      <c r="W496" t="inlineStr">
        <is>
          <t>1996-07-23</t>
        </is>
      </c>
      <c r="X496" t="inlineStr">
        <is>
          <t>1996-07-23</t>
        </is>
      </c>
      <c r="Y496" t="n">
        <v>160</v>
      </c>
      <c r="Z496" t="n">
        <v>129</v>
      </c>
      <c r="AA496" t="n">
        <v>130</v>
      </c>
      <c r="AB496" t="n">
        <v>3</v>
      </c>
      <c r="AC496" t="n">
        <v>3</v>
      </c>
      <c r="AD496" t="n">
        <v>9</v>
      </c>
      <c r="AE496" t="n">
        <v>9</v>
      </c>
      <c r="AF496" t="n">
        <v>3</v>
      </c>
      <c r="AG496" t="n">
        <v>3</v>
      </c>
      <c r="AH496" t="n">
        <v>3</v>
      </c>
      <c r="AI496" t="n">
        <v>3</v>
      </c>
      <c r="AJ496" t="n">
        <v>4</v>
      </c>
      <c r="AK496" t="n">
        <v>4</v>
      </c>
      <c r="AL496" t="n">
        <v>2</v>
      </c>
      <c r="AM496" t="n">
        <v>2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HYPERLINK("http://catalog.hathitrust.org/Record/000358004","HathiTrust Record")</f>
        <v/>
      </c>
      <c r="AS496">
        <f>HYPERLINK("https://creighton-primo.hosted.exlibrisgroup.com/primo-explore/search?tab=default_tab&amp;search_scope=EVERYTHING&amp;vid=01CRU&amp;lang=en_US&amp;offset=0&amp;query=any,contains,991002509489702656","Catalog Record")</f>
        <v/>
      </c>
      <c r="AT496">
        <f>HYPERLINK("http://www.worldcat.org/oclc/365035","WorldCat Record")</f>
        <v/>
      </c>
      <c r="AU496" t="inlineStr">
        <is>
          <t>146052517:eng</t>
        </is>
      </c>
      <c r="AV496" t="inlineStr">
        <is>
          <t>365035</t>
        </is>
      </c>
      <c r="AW496" t="inlineStr">
        <is>
          <t>991002509489702656</t>
        </is>
      </c>
      <c r="AX496" t="inlineStr">
        <is>
          <t>991002509489702656</t>
        </is>
      </c>
      <c r="AY496" t="inlineStr">
        <is>
          <t>2265989850002656</t>
        </is>
      </c>
      <c r="AZ496" t="inlineStr">
        <is>
          <t>BOOK</t>
        </is>
      </c>
      <c r="BC496" t="inlineStr">
        <is>
          <t>32285002233210</t>
        </is>
      </c>
      <c r="BD496" t="inlineStr">
        <is>
          <t>893352366</t>
        </is>
      </c>
    </row>
    <row r="497">
      <c r="A497" t="inlineStr">
        <is>
          <t>No</t>
        </is>
      </c>
      <c r="B497" t="inlineStr">
        <is>
          <t>BF39 .B673</t>
        </is>
      </c>
      <c r="C497" t="inlineStr">
        <is>
          <t>0                      BF 0039000B  673</t>
        </is>
      </c>
      <c r="D497" t="inlineStr">
        <is>
          <t>Multivariate statistical methods in behavioral research [by] R. Darrell Bock.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Bock, R. Darrell.</t>
        </is>
      </c>
      <c r="L497" t="inlineStr">
        <is>
          <t>New York, McGraw-Hill [1975]</t>
        </is>
      </c>
      <c r="M497" t="inlineStr">
        <is>
          <t>1975</t>
        </is>
      </c>
      <c r="O497" t="inlineStr">
        <is>
          <t>eng</t>
        </is>
      </c>
      <c r="P497" t="inlineStr">
        <is>
          <t>nyu</t>
        </is>
      </c>
      <c r="Q497" t="inlineStr">
        <is>
          <t>McGraw-Hill series in psychology</t>
        </is>
      </c>
      <c r="R497" t="inlineStr">
        <is>
          <t xml:space="preserve">BF </t>
        </is>
      </c>
      <c r="S497" t="n">
        <v>1</v>
      </c>
      <c r="T497" t="n">
        <v>1</v>
      </c>
      <c r="U497" t="inlineStr">
        <is>
          <t>2010-04-27</t>
        </is>
      </c>
      <c r="V497" t="inlineStr">
        <is>
          <t>2010-04-27</t>
        </is>
      </c>
      <c r="W497" t="inlineStr">
        <is>
          <t>1996-07-23</t>
        </is>
      </c>
      <c r="X497" t="inlineStr">
        <is>
          <t>1996-07-23</t>
        </is>
      </c>
      <c r="Y497" t="n">
        <v>519</v>
      </c>
      <c r="Z497" t="n">
        <v>361</v>
      </c>
      <c r="AA497" t="n">
        <v>375</v>
      </c>
      <c r="AB497" t="n">
        <v>3</v>
      </c>
      <c r="AC497" t="n">
        <v>3</v>
      </c>
      <c r="AD497" t="n">
        <v>17</v>
      </c>
      <c r="AE497" t="n">
        <v>18</v>
      </c>
      <c r="AF497" t="n">
        <v>4</v>
      </c>
      <c r="AG497" t="n">
        <v>4</v>
      </c>
      <c r="AH497" t="n">
        <v>6</v>
      </c>
      <c r="AI497" t="n">
        <v>6</v>
      </c>
      <c r="AJ497" t="n">
        <v>13</v>
      </c>
      <c r="AK497" t="n">
        <v>14</v>
      </c>
      <c r="AL497" t="n">
        <v>1</v>
      </c>
      <c r="AM497" t="n">
        <v>1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HYPERLINK("http://catalog.hathitrust.org/Record/000014335","HathiTrust Record")</f>
        <v/>
      </c>
      <c r="AS497">
        <f>HYPERLINK("https://creighton-primo.hosted.exlibrisgroup.com/primo-explore/search?tab=default_tab&amp;search_scope=EVERYTHING&amp;vid=01CRU&amp;lang=en_US&amp;offset=0&amp;query=any,contains,991003367899702656","Catalog Record")</f>
        <v/>
      </c>
      <c r="AT497">
        <f>HYPERLINK("http://www.worldcat.org/oclc/902933","WorldCat Record")</f>
        <v/>
      </c>
      <c r="AU497" t="inlineStr">
        <is>
          <t>9169222:eng</t>
        </is>
      </c>
      <c r="AV497" t="inlineStr">
        <is>
          <t>902933</t>
        </is>
      </c>
      <c r="AW497" t="inlineStr">
        <is>
          <t>991003367899702656</t>
        </is>
      </c>
      <c r="AX497" t="inlineStr">
        <is>
          <t>991003367899702656</t>
        </is>
      </c>
      <c r="AY497" t="inlineStr">
        <is>
          <t>2262655080002656</t>
        </is>
      </c>
      <c r="AZ497" t="inlineStr">
        <is>
          <t>BOOK</t>
        </is>
      </c>
      <c r="BB497" t="inlineStr">
        <is>
          <t>9780070063051</t>
        </is>
      </c>
      <c r="BC497" t="inlineStr">
        <is>
          <t>32285002233236</t>
        </is>
      </c>
      <c r="BD497" t="inlineStr">
        <is>
          <t>893610976</t>
        </is>
      </c>
    </row>
    <row r="498">
      <c r="A498" t="inlineStr">
        <is>
          <t>No</t>
        </is>
      </c>
      <c r="B498" t="inlineStr">
        <is>
          <t>BF39 .C3</t>
        </is>
      </c>
      <c r="C498" t="inlineStr">
        <is>
          <t>0                      BF 0039000C  3</t>
        </is>
      </c>
      <c r="D498" t="inlineStr">
        <is>
          <t>Factor analysis; an introduction and manual for the psychologist and social scientist.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Cattell, Raymond B. (Raymond Bernard), 1905-1998.</t>
        </is>
      </c>
      <c r="L498" t="inlineStr">
        <is>
          <t>New York, Harper [1952]</t>
        </is>
      </c>
      <c r="M498" t="inlineStr">
        <is>
          <t>1952</t>
        </is>
      </c>
      <c r="O498" t="inlineStr">
        <is>
          <t>eng</t>
        </is>
      </c>
      <c r="P498" t="inlineStr">
        <is>
          <t>nyu</t>
        </is>
      </c>
      <c r="Q498" t="inlineStr">
        <is>
          <t>Harper's psychological series</t>
        </is>
      </c>
      <c r="R498" t="inlineStr">
        <is>
          <t xml:space="preserve">BF </t>
        </is>
      </c>
      <c r="S498" t="n">
        <v>2</v>
      </c>
      <c r="T498" t="n">
        <v>2</v>
      </c>
      <c r="U498" t="inlineStr">
        <is>
          <t>1997-12-01</t>
        </is>
      </c>
      <c r="V498" t="inlineStr">
        <is>
          <t>1997-12-01</t>
        </is>
      </c>
      <c r="W498" t="inlineStr">
        <is>
          <t>1996-07-23</t>
        </is>
      </c>
      <c r="X498" t="inlineStr">
        <is>
          <t>1996-07-23</t>
        </is>
      </c>
      <c r="Y498" t="n">
        <v>345</v>
      </c>
      <c r="Z498" t="n">
        <v>265</v>
      </c>
      <c r="AA498" t="n">
        <v>407</v>
      </c>
      <c r="AB498" t="n">
        <v>2</v>
      </c>
      <c r="AC498" t="n">
        <v>3</v>
      </c>
      <c r="AD498" t="n">
        <v>16</v>
      </c>
      <c r="AE498" t="n">
        <v>20</v>
      </c>
      <c r="AF498" t="n">
        <v>9</v>
      </c>
      <c r="AG498" t="n">
        <v>10</v>
      </c>
      <c r="AH498" t="n">
        <v>3</v>
      </c>
      <c r="AI498" t="n">
        <v>5</v>
      </c>
      <c r="AJ498" t="n">
        <v>8</v>
      </c>
      <c r="AK498" t="n">
        <v>10</v>
      </c>
      <c r="AL498" t="n">
        <v>1</v>
      </c>
      <c r="AM498" t="n">
        <v>2</v>
      </c>
      <c r="AN498" t="n">
        <v>0</v>
      </c>
      <c r="AO498" t="n">
        <v>0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HYPERLINK("https://creighton-primo.hosted.exlibrisgroup.com/primo-explore/search?tab=default_tab&amp;search_scope=EVERYTHING&amp;vid=01CRU&amp;lang=en_US&amp;offset=0&amp;query=any,contains,991003349389702656","Catalog Record")</f>
        <v/>
      </c>
      <c r="AT498">
        <f>HYPERLINK("http://www.worldcat.org/oclc/882066","WorldCat Record")</f>
        <v/>
      </c>
      <c r="AU498" t="inlineStr">
        <is>
          <t>216534627:eng</t>
        </is>
      </c>
      <c r="AV498" t="inlineStr">
        <is>
          <t>882066</t>
        </is>
      </c>
      <c r="AW498" t="inlineStr">
        <is>
          <t>991003349389702656</t>
        </is>
      </c>
      <c r="AX498" t="inlineStr">
        <is>
          <t>991003349389702656</t>
        </is>
      </c>
      <c r="AY498" t="inlineStr">
        <is>
          <t>2260243210002656</t>
        </is>
      </c>
      <c r="AZ498" t="inlineStr">
        <is>
          <t>BOOK</t>
        </is>
      </c>
      <c r="BC498" t="inlineStr">
        <is>
          <t>32285002233244</t>
        </is>
      </c>
      <c r="BD498" t="inlineStr">
        <is>
          <t>893893641</t>
        </is>
      </c>
    </row>
    <row r="499">
      <c r="A499" t="inlineStr">
        <is>
          <t>No</t>
        </is>
      </c>
      <c r="B499" t="inlineStr">
        <is>
          <t>BF39 .C33</t>
        </is>
      </c>
      <c r="C499" t="inlineStr">
        <is>
          <t>0                      BF 0039000C  33</t>
        </is>
      </c>
      <c r="D499" t="inlineStr">
        <is>
          <t>The scientific use of factor analysis in behavioral and life sciences / Raymond B. Cattell.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Cattell, Raymond B. (Raymond Bernard), 1905-1998.</t>
        </is>
      </c>
      <c r="L499" t="inlineStr">
        <is>
          <t>New York : Plenum Press, c1978, 1979 printing.</t>
        </is>
      </c>
      <c r="M499" t="inlineStr">
        <is>
          <t>1978</t>
        </is>
      </c>
      <c r="O499" t="inlineStr">
        <is>
          <t>eng</t>
        </is>
      </c>
      <c r="P499" t="inlineStr">
        <is>
          <t>nyu</t>
        </is>
      </c>
      <c r="R499" t="inlineStr">
        <is>
          <t xml:space="preserve">BF </t>
        </is>
      </c>
      <c r="S499" t="n">
        <v>3</v>
      </c>
      <c r="T499" t="n">
        <v>3</v>
      </c>
      <c r="U499" t="inlineStr">
        <is>
          <t>2001-04-21</t>
        </is>
      </c>
      <c r="V499" t="inlineStr">
        <is>
          <t>2001-04-21</t>
        </is>
      </c>
      <c r="W499" t="inlineStr">
        <is>
          <t>1992-10-23</t>
        </is>
      </c>
      <c r="X499" t="inlineStr">
        <is>
          <t>1992-10-23</t>
        </is>
      </c>
      <c r="Y499" t="n">
        <v>596</v>
      </c>
      <c r="Z499" t="n">
        <v>451</v>
      </c>
      <c r="AA499" t="n">
        <v>471</v>
      </c>
      <c r="AB499" t="n">
        <v>5</v>
      </c>
      <c r="AC499" t="n">
        <v>5</v>
      </c>
      <c r="AD499" t="n">
        <v>20</v>
      </c>
      <c r="AE499" t="n">
        <v>21</v>
      </c>
      <c r="AF499" t="n">
        <v>8</v>
      </c>
      <c r="AG499" t="n">
        <v>9</v>
      </c>
      <c r="AH499" t="n">
        <v>5</v>
      </c>
      <c r="AI499" t="n">
        <v>6</v>
      </c>
      <c r="AJ499" t="n">
        <v>10</v>
      </c>
      <c r="AK499" t="n">
        <v>10</v>
      </c>
      <c r="AL499" t="n">
        <v>3</v>
      </c>
      <c r="AM499" t="n">
        <v>3</v>
      </c>
      <c r="AN499" t="n">
        <v>0</v>
      </c>
      <c r="AO499" t="n">
        <v>0</v>
      </c>
      <c r="AP499" t="inlineStr">
        <is>
          <t>No</t>
        </is>
      </c>
      <c r="AQ499" t="inlineStr">
        <is>
          <t>Yes</t>
        </is>
      </c>
      <c r="AR499">
        <f>HYPERLINK("http://catalog.hathitrust.org/Record/004442721","HathiTrust Record")</f>
        <v/>
      </c>
      <c r="AS499">
        <f>HYPERLINK("https://creighton-primo.hosted.exlibrisgroup.com/primo-explore/search?tab=default_tab&amp;search_scope=EVERYTHING&amp;vid=01CRU&amp;lang=en_US&amp;offset=0&amp;query=any,contains,991004374959702656","Catalog Record")</f>
        <v/>
      </c>
      <c r="AT499">
        <f>HYPERLINK("http://www.worldcat.org/oclc/3204221","WorldCat Record")</f>
        <v/>
      </c>
      <c r="AU499" t="inlineStr">
        <is>
          <t>198284445:eng</t>
        </is>
      </c>
      <c r="AV499" t="inlineStr">
        <is>
          <t>3204221</t>
        </is>
      </c>
      <c r="AW499" t="inlineStr">
        <is>
          <t>991004374959702656</t>
        </is>
      </c>
      <c r="AX499" t="inlineStr">
        <is>
          <t>991004374959702656</t>
        </is>
      </c>
      <c r="AY499" t="inlineStr">
        <is>
          <t>2270750740002656</t>
        </is>
      </c>
      <c r="AZ499" t="inlineStr">
        <is>
          <t>BOOK</t>
        </is>
      </c>
      <c r="BB499" t="inlineStr">
        <is>
          <t>9780306309397</t>
        </is>
      </c>
      <c r="BC499" t="inlineStr">
        <is>
          <t>32285001377711</t>
        </is>
      </c>
      <c r="BD499" t="inlineStr">
        <is>
          <t>893605943</t>
        </is>
      </c>
    </row>
    <row r="500">
      <c r="A500" t="inlineStr">
        <is>
          <t>No</t>
        </is>
      </c>
      <c r="B500" t="inlineStr">
        <is>
          <t>BF39 .C66</t>
        </is>
      </c>
      <c r="C500" t="inlineStr">
        <is>
          <t>0                      BF 0039000C  66</t>
        </is>
      </c>
      <c r="D500" t="inlineStr">
        <is>
          <t>Psychological statistics : an introduction / [by] Frederick A. Courts.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Courts, Frederick A.</t>
        </is>
      </c>
      <c r="L500" t="inlineStr">
        <is>
          <t>Homewood, Ill. Dorsey Press, 1966.</t>
        </is>
      </c>
      <c r="M500" t="inlineStr">
        <is>
          <t>1966</t>
        </is>
      </c>
      <c r="O500" t="inlineStr">
        <is>
          <t>eng</t>
        </is>
      </c>
      <c r="P500" t="inlineStr">
        <is>
          <t>ilu</t>
        </is>
      </c>
      <c r="Q500" t="inlineStr">
        <is>
          <t>The Dorsey series in psychology</t>
        </is>
      </c>
      <c r="R500" t="inlineStr">
        <is>
          <t xml:space="preserve">BF </t>
        </is>
      </c>
      <c r="S500" t="n">
        <v>4</v>
      </c>
      <c r="T500" t="n">
        <v>4</v>
      </c>
      <c r="U500" t="inlineStr">
        <is>
          <t>1996-11-22</t>
        </is>
      </c>
      <c r="V500" t="inlineStr">
        <is>
          <t>1996-11-22</t>
        </is>
      </c>
      <c r="W500" t="inlineStr">
        <is>
          <t>1996-07-23</t>
        </is>
      </c>
      <c r="X500" t="inlineStr">
        <is>
          <t>1996-07-23</t>
        </is>
      </c>
      <c r="Y500" t="n">
        <v>323</v>
      </c>
      <c r="Z500" t="n">
        <v>285</v>
      </c>
      <c r="AA500" t="n">
        <v>288</v>
      </c>
      <c r="AB500" t="n">
        <v>3</v>
      </c>
      <c r="AC500" t="n">
        <v>3</v>
      </c>
      <c r="AD500" t="n">
        <v>13</v>
      </c>
      <c r="AE500" t="n">
        <v>13</v>
      </c>
      <c r="AF500" t="n">
        <v>4</v>
      </c>
      <c r="AG500" t="n">
        <v>4</v>
      </c>
      <c r="AH500" t="n">
        <v>1</v>
      </c>
      <c r="AI500" t="n">
        <v>1</v>
      </c>
      <c r="AJ500" t="n">
        <v>10</v>
      </c>
      <c r="AK500" t="n">
        <v>10</v>
      </c>
      <c r="AL500" t="n">
        <v>2</v>
      </c>
      <c r="AM500" t="n">
        <v>2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HYPERLINK("http://catalog.hathitrust.org/Record/000615122","HathiTrust Record")</f>
        <v/>
      </c>
      <c r="AS500">
        <f>HYPERLINK("https://creighton-primo.hosted.exlibrisgroup.com/primo-explore/search?tab=default_tab&amp;search_scope=EVERYTHING&amp;vid=01CRU&amp;lang=en_US&amp;offset=0&amp;query=any,contains,991004338989702656","Catalog Record")</f>
        <v/>
      </c>
      <c r="AT500">
        <f>HYPERLINK("http://www.worldcat.org/oclc/3083002","WorldCat Record")</f>
        <v/>
      </c>
      <c r="AU500" t="inlineStr">
        <is>
          <t>890545703:eng</t>
        </is>
      </c>
      <c r="AV500" t="inlineStr">
        <is>
          <t>3083002</t>
        </is>
      </c>
      <c r="AW500" t="inlineStr">
        <is>
          <t>991004338989702656</t>
        </is>
      </c>
      <c r="AX500" t="inlineStr">
        <is>
          <t>991004338989702656</t>
        </is>
      </c>
      <c r="AY500" t="inlineStr">
        <is>
          <t>2267960780002656</t>
        </is>
      </c>
      <c r="AZ500" t="inlineStr">
        <is>
          <t>BOOK</t>
        </is>
      </c>
      <c r="BC500" t="inlineStr">
        <is>
          <t>32285002233285</t>
        </is>
      </c>
      <c r="BD500" t="inlineStr">
        <is>
          <t>893411409</t>
        </is>
      </c>
    </row>
    <row r="501">
      <c r="A501" t="inlineStr">
        <is>
          <t>No</t>
        </is>
      </c>
      <c r="B501" t="inlineStr">
        <is>
          <t>BF39 .D44</t>
        </is>
      </c>
      <c r="C501" t="inlineStr">
        <is>
          <t>0                      BF 0039000D  44</t>
        </is>
      </c>
      <c r="D501" t="inlineStr">
        <is>
          <t>Statistics and experimental design for behavioral and biological researchers : an introduction / Victor H. Denenberg.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Denenberg, Victor H., 1925-2008.</t>
        </is>
      </c>
      <c r="L501" t="inlineStr">
        <is>
          <t>Washington : Hemisphere Pub. Corp. ; New York : distributed solely by Halsted Press, c1976.</t>
        </is>
      </c>
      <c r="M501" t="inlineStr">
        <is>
          <t>1976</t>
        </is>
      </c>
      <c r="O501" t="inlineStr">
        <is>
          <t>eng</t>
        </is>
      </c>
      <c r="P501" t="inlineStr">
        <is>
          <t>dcu</t>
        </is>
      </c>
      <c r="R501" t="inlineStr">
        <is>
          <t xml:space="preserve">BF </t>
        </is>
      </c>
      <c r="S501" t="n">
        <v>3</v>
      </c>
      <c r="T501" t="n">
        <v>3</v>
      </c>
      <c r="U501" t="inlineStr">
        <is>
          <t>2001-04-21</t>
        </is>
      </c>
      <c r="V501" t="inlineStr">
        <is>
          <t>2001-04-21</t>
        </is>
      </c>
      <c r="W501" t="inlineStr">
        <is>
          <t>1996-07-23</t>
        </is>
      </c>
      <c r="X501" t="inlineStr">
        <is>
          <t>1996-07-23</t>
        </is>
      </c>
      <c r="Y501" t="n">
        <v>338</v>
      </c>
      <c r="Z501" t="n">
        <v>255</v>
      </c>
      <c r="AA501" t="n">
        <v>262</v>
      </c>
      <c r="AB501" t="n">
        <v>4</v>
      </c>
      <c r="AC501" t="n">
        <v>4</v>
      </c>
      <c r="AD501" t="n">
        <v>11</v>
      </c>
      <c r="AE501" t="n">
        <v>11</v>
      </c>
      <c r="AF501" t="n">
        <v>3</v>
      </c>
      <c r="AG501" t="n">
        <v>3</v>
      </c>
      <c r="AH501" t="n">
        <v>1</v>
      </c>
      <c r="AI501" t="n">
        <v>1</v>
      </c>
      <c r="AJ501" t="n">
        <v>6</v>
      </c>
      <c r="AK501" t="n">
        <v>6</v>
      </c>
      <c r="AL501" t="n">
        <v>3</v>
      </c>
      <c r="AM501" t="n">
        <v>3</v>
      </c>
      <c r="AN501" t="n">
        <v>0</v>
      </c>
      <c r="AO501" t="n">
        <v>0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HYPERLINK("http://catalog.hathitrust.org/Record/000739262","HathiTrust Record")</f>
        <v/>
      </c>
      <c r="AS501">
        <f>HYPERLINK("https://creighton-primo.hosted.exlibrisgroup.com/primo-explore/search?tab=default_tab&amp;search_scope=EVERYTHING&amp;vid=01CRU&amp;lang=en_US&amp;offset=0&amp;query=any,contains,991004083709702656","Catalog Record")</f>
        <v/>
      </c>
      <c r="AT501">
        <f>HYPERLINK("http://www.worldcat.org/oclc/2331439","WorldCat Record")</f>
        <v/>
      </c>
      <c r="AU501" t="inlineStr">
        <is>
          <t>903517112:eng</t>
        </is>
      </c>
      <c r="AV501" t="inlineStr">
        <is>
          <t>2331439</t>
        </is>
      </c>
      <c r="AW501" t="inlineStr">
        <is>
          <t>991004083709702656</t>
        </is>
      </c>
      <c r="AX501" t="inlineStr">
        <is>
          <t>991004083709702656</t>
        </is>
      </c>
      <c r="AY501" t="inlineStr">
        <is>
          <t>2264285020002656</t>
        </is>
      </c>
      <c r="AZ501" t="inlineStr">
        <is>
          <t>BOOK</t>
        </is>
      </c>
      <c r="BB501" t="inlineStr">
        <is>
          <t>9780470152027</t>
        </is>
      </c>
      <c r="BC501" t="inlineStr">
        <is>
          <t>32285002233301</t>
        </is>
      </c>
      <c r="BD501" t="inlineStr">
        <is>
          <t>893800566</t>
        </is>
      </c>
    </row>
    <row r="502">
      <c r="A502" t="inlineStr">
        <is>
          <t>No</t>
        </is>
      </c>
      <c r="B502" t="inlineStr">
        <is>
          <t>BF39 .E3 1960</t>
        </is>
      </c>
      <c r="C502" t="inlineStr">
        <is>
          <t>0                      BF 0039000E  3           1960</t>
        </is>
      </c>
      <c r="D502" t="inlineStr">
        <is>
          <t>Experimental design in psychological research.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Edwards, Allen Louis.</t>
        </is>
      </c>
      <c r="L502" t="inlineStr">
        <is>
          <t>New York, Rinehart [1960]</t>
        </is>
      </c>
      <c r="M502" t="inlineStr">
        <is>
          <t>1960</t>
        </is>
      </c>
      <c r="N502" t="inlineStr">
        <is>
          <t>Rev. ed.</t>
        </is>
      </c>
      <c r="O502" t="inlineStr">
        <is>
          <t>eng</t>
        </is>
      </c>
      <c r="P502" t="inlineStr">
        <is>
          <t xml:space="preserve">xx </t>
        </is>
      </c>
      <c r="R502" t="inlineStr">
        <is>
          <t xml:space="preserve">BF </t>
        </is>
      </c>
      <c r="S502" t="n">
        <v>1</v>
      </c>
      <c r="T502" t="n">
        <v>1</v>
      </c>
      <c r="U502" t="inlineStr">
        <is>
          <t>2001-04-21</t>
        </is>
      </c>
      <c r="V502" t="inlineStr">
        <is>
          <t>2001-04-21</t>
        </is>
      </c>
      <c r="W502" t="inlineStr">
        <is>
          <t>1996-07-23</t>
        </is>
      </c>
      <c r="X502" t="inlineStr">
        <is>
          <t>1996-07-23</t>
        </is>
      </c>
      <c r="Y502" t="n">
        <v>368</v>
      </c>
      <c r="Z502" t="n">
        <v>311</v>
      </c>
      <c r="AA502" t="n">
        <v>849</v>
      </c>
      <c r="AB502" t="n">
        <v>3</v>
      </c>
      <c r="AC502" t="n">
        <v>9</v>
      </c>
      <c r="AD502" t="n">
        <v>13</v>
      </c>
      <c r="AE502" t="n">
        <v>35</v>
      </c>
      <c r="AF502" t="n">
        <v>4</v>
      </c>
      <c r="AG502" t="n">
        <v>14</v>
      </c>
      <c r="AH502" t="n">
        <v>4</v>
      </c>
      <c r="AI502" t="n">
        <v>7</v>
      </c>
      <c r="AJ502" t="n">
        <v>6</v>
      </c>
      <c r="AK502" t="n">
        <v>18</v>
      </c>
      <c r="AL502" t="n">
        <v>2</v>
      </c>
      <c r="AM502" t="n">
        <v>7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HYPERLINK("http://catalog.hathitrust.org/Record/000581819","HathiTrust Record")</f>
        <v/>
      </c>
      <c r="AS502">
        <f>HYPERLINK("https://creighton-primo.hosted.exlibrisgroup.com/primo-explore/search?tab=default_tab&amp;search_scope=EVERYTHING&amp;vid=01CRU&amp;lang=en_US&amp;offset=0&amp;query=any,contains,991003411829702656","Catalog Record")</f>
        <v/>
      </c>
      <c r="AT502">
        <f>HYPERLINK("http://www.worldcat.org/oclc/949940","WorldCat Record")</f>
        <v/>
      </c>
      <c r="AU502" t="inlineStr">
        <is>
          <t>1671066:eng</t>
        </is>
      </c>
      <c r="AV502" t="inlineStr">
        <is>
          <t>949940</t>
        </is>
      </c>
      <c r="AW502" t="inlineStr">
        <is>
          <t>991003411829702656</t>
        </is>
      </c>
      <c r="AX502" t="inlineStr">
        <is>
          <t>991003411829702656</t>
        </is>
      </c>
      <c r="AY502" t="inlineStr">
        <is>
          <t>2263037500002656</t>
        </is>
      </c>
      <c r="AZ502" t="inlineStr">
        <is>
          <t>BOOK</t>
        </is>
      </c>
      <c r="BC502" t="inlineStr">
        <is>
          <t>32285002233327</t>
        </is>
      </c>
      <c r="BD502" t="inlineStr">
        <is>
          <t>893511922</t>
        </is>
      </c>
    </row>
    <row r="503">
      <c r="A503" t="inlineStr">
        <is>
          <t>No</t>
        </is>
      </c>
      <c r="B503" t="inlineStr">
        <is>
          <t>BF39 .E32 1985</t>
        </is>
      </c>
      <c r="C503" t="inlineStr">
        <is>
          <t>0                      BF 0039000E  32          1985</t>
        </is>
      </c>
      <c r="D503" t="inlineStr">
        <is>
          <t>Multiple regression and the analysis of variance and covariance / Allen L. Edwards.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Edwards, Allen Louis.</t>
        </is>
      </c>
      <c r="L503" t="inlineStr">
        <is>
          <t>New York : W.H. Freeman, c1985.</t>
        </is>
      </c>
      <c r="M503" t="inlineStr">
        <is>
          <t>1985</t>
        </is>
      </c>
      <c r="N503" t="inlineStr">
        <is>
          <t>2nd ed.</t>
        </is>
      </c>
      <c r="O503" t="inlineStr">
        <is>
          <t>eng</t>
        </is>
      </c>
      <c r="P503" t="inlineStr">
        <is>
          <t>nyu</t>
        </is>
      </c>
      <c r="Q503" t="inlineStr">
        <is>
          <t>A Series of books in psychology</t>
        </is>
      </c>
      <c r="R503" t="inlineStr">
        <is>
          <t xml:space="preserve">BF </t>
        </is>
      </c>
      <c r="S503" t="n">
        <v>3</v>
      </c>
      <c r="T503" t="n">
        <v>3</v>
      </c>
      <c r="U503" t="inlineStr">
        <is>
          <t>1999-10-29</t>
        </is>
      </c>
      <c r="V503" t="inlineStr">
        <is>
          <t>1999-10-29</t>
        </is>
      </c>
      <c r="W503" t="inlineStr">
        <is>
          <t>1992-10-23</t>
        </is>
      </c>
      <c r="X503" t="inlineStr">
        <is>
          <t>1992-10-23</t>
        </is>
      </c>
      <c r="Y503" t="n">
        <v>393</v>
      </c>
      <c r="Z503" t="n">
        <v>275</v>
      </c>
      <c r="AA503" t="n">
        <v>646</v>
      </c>
      <c r="AB503" t="n">
        <v>1</v>
      </c>
      <c r="AC503" t="n">
        <v>4</v>
      </c>
      <c r="AD503" t="n">
        <v>10</v>
      </c>
      <c r="AE503" t="n">
        <v>29</v>
      </c>
      <c r="AF503" t="n">
        <v>3</v>
      </c>
      <c r="AG503" t="n">
        <v>12</v>
      </c>
      <c r="AH503" t="n">
        <v>3</v>
      </c>
      <c r="AI503" t="n">
        <v>5</v>
      </c>
      <c r="AJ503" t="n">
        <v>8</v>
      </c>
      <c r="AK503" t="n">
        <v>19</v>
      </c>
      <c r="AL503" t="n">
        <v>0</v>
      </c>
      <c r="AM503" t="n">
        <v>2</v>
      </c>
      <c r="AN503" t="n">
        <v>0</v>
      </c>
      <c r="AO503" t="n">
        <v>0</v>
      </c>
      <c r="AP503" t="inlineStr">
        <is>
          <t>No</t>
        </is>
      </c>
      <c r="AQ503" t="inlineStr">
        <is>
          <t>No</t>
        </is>
      </c>
      <c r="AS503">
        <f>HYPERLINK("https://creighton-primo.hosted.exlibrisgroup.com/primo-explore/search?tab=default_tab&amp;search_scope=EVERYTHING&amp;vid=01CRU&amp;lang=en_US&amp;offset=0&amp;query=any,contains,991000539599702656","Catalog Record")</f>
        <v/>
      </c>
      <c r="AT503">
        <f>HYPERLINK("http://www.worldcat.org/oclc/11469821","WorldCat Record")</f>
        <v/>
      </c>
      <c r="AU503" t="inlineStr">
        <is>
          <t>3985127:eng</t>
        </is>
      </c>
      <c r="AV503" t="inlineStr">
        <is>
          <t>11469821</t>
        </is>
      </c>
      <c r="AW503" t="inlineStr">
        <is>
          <t>991000539599702656</t>
        </is>
      </c>
      <c r="AX503" t="inlineStr">
        <is>
          <t>991000539599702656</t>
        </is>
      </c>
      <c r="AY503" t="inlineStr">
        <is>
          <t>2266331150002656</t>
        </is>
      </c>
      <c r="AZ503" t="inlineStr">
        <is>
          <t>BOOK</t>
        </is>
      </c>
      <c r="BB503" t="inlineStr">
        <is>
          <t>9780716717041</t>
        </is>
      </c>
      <c r="BC503" t="inlineStr">
        <is>
          <t>32285001377752</t>
        </is>
      </c>
      <c r="BD503" t="inlineStr">
        <is>
          <t>893608015</t>
        </is>
      </c>
    </row>
    <row r="504">
      <c r="A504" t="inlineStr">
        <is>
          <t>No</t>
        </is>
      </c>
      <c r="B504" t="inlineStr">
        <is>
          <t>BF39 .F78</t>
        </is>
      </c>
      <c r="C504" t="inlineStr">
        <is>
          <t>0                      BF 0039000F  78</t>
        </is>
      </c>
      <c r="D504" t="inlineStr">
        <is>
          <t>Introduction to factor analysis.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Fruchter, Benjamin.</t>
        </is>
      </c>
      <c r="L504" t="inlineStr">
        <is>
          <t>New York, Van Nostrand [1954]</t>
        </is>
      </c>
      <c r="M504" t="inlineStr">
        <is>
          <t>1954</t>
        </is>
      </c>
      <c r="O504" t="inlineStr">
        <is>
          <t>eng</t>
        </is>
      </c>
      <c r="P504" t="inlineStr">
        <is>
          <t>nyu</t>
        </is>
      </c>
      <c r="Q504" t="inlineStr">
        <is>
          <t>The Van Nostrand series in psychology</t>
        </is>
      </c>
      <c r="R504" t="inlineStr">
        <is>
          <t xml:space="preserve">BF </t>
        </is>
      </c>
      <c r="S504" t="n">
        <v>2</v>
      </c>
      <c r="T504" t="n">
        <v>2</v>
      </c>
      <c r="U504" t="inlineStr">
        <is>
          <t>1997-12-01</t>
        </is>
      </c>
      <c r="V504" t="inlineStr">
        <is>
          <t>1997-12-01</t>
        </is>
      </c>
      <c r="W504" t="inlineStr">
        <is>
          <t>1996-07-23</t>
        </is>
      </c>
      <c r="X504" t="inlineStr">
        <is>
          <t>1996-07-23</t>
        </is>
      </c>
      <c r="Y504" t="n">
        <v>433</v>
      </c>
      <c r="Z504" t="n">
        <v>313</v>
      </c>
      <c r="AA504" t="n">
        <v>316</v>
      </c>
      <c r="AB504" t="n">
        <v>3</v>
      </c>
      <c r="AC504" t="n">
        <v>3</v>
      </c>
      <c r="AD504" t="n">
        <v>12</v>
      </c>
      <c r="AE504" t="n">
        <v>12</v>
      </c>
      <c r="AF504" t="n">
        <v>7</v>
      </c>
      <c r="AG504" t="n">
        <v>7</v>
      </c>
      <c r="AH504" t="n">
        <v>2</v>
      </c>
      <c r="AI504" t="n">
        <v>2</v>
      </c>
      <c r="AJ504" t="n">
        <v>7</v>
      </c>
      <c r="AK504" t="n">
        <v>7</v>
      </c>
      <c r="AL504" t="n">
        <v>1</v>
      </c>
      <c r="AM504" t="n">
        <v>1</v>
      </c>
      <c r="AN504" t="n">
        <v>0</v>
      </c>
      <c r="AO504" t="n">
        <v>0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HYPERLINK("http://catalog.hathitrust.org/Record/000615136","HathiTrust Record")</f>
        <v/>
      </c>
      <c r="AS504">
        <f>HYPERLINK("https://creighton-primo.hosted.exlibrisgroup.com/primo-explore/search?tab=default_tab&amp;search_scope=EVERYTHING&amp;vid=01CRU&amp;lang=en_US&amp;offset=0&amp;query=any,contains,991001204439702656","Catalog Record")</f>
        <v/>
      </c>
      <c r="AT504">
        <f>HYPERLINK("http://www.worldcat.org/oclc/191648","WorldCat Record")</f>
        <v/>
      </c>
      <c r="AU504" t="inlineStr">
        <is>
          <t>1351915:eng</t>
        </is>
      </c>
      <c r="AV504" t="inlineStr">
        <is>
          <t>191648</t>
        </is>
      </c>
      <c r="AW504" t="inlineStr">
        <is>
          <t>991001204439702656</t>
        </is>
      </c>
      <c r="AX504" t="inlineStr">
        <is>
          <t>991001204439702656</t>
        </is>
      </c>
      <c r="AY504" t="inlineStr">
        <is>
          <t>2258919230002656</t>
        </is>
      </c>
      <c r="AZ504" t="inlineStr">
        <is>
          <t>BOOK</t>
        </is>
      </c>
      <c r="BC504" t="inlineStr">
        <is>
          <t>32285002233350</t>
        </is>
      </c>
      <c r="BD504" t="inlineStr">
        <is>
          <t>893878722</t>
        </is>
      </c>
    </row>
    <row r="505">
      <c r="A505" t="inlineStr">
        <is>
          <t>No</t>
        </is>
      </c>
      <c r="B505" t="inlineStr">
        <is>
          <t>BF39 .M22</t>
        </is>
      </c>
      <c r="C505" t="inlineStr">
        <is>
          <t>0                      BF 0039000M  22</t>
        </is>
      </c>
      <c r="D505" t="inlineStr">
        <is>
          <t>Advances in psychological assessment.</t>
        </is>
      </c>
      <c r="F505" t="inlineStr">
        <is>
          <t>Yes</t>
        </is>
      </c>
      <c r="G505" t="inlineStr">
        <is>
          <t>1</t>
        </is>
      </c>
      <c r="H505" t="inlineStr">
        <is>
          <t>Yes</t>
        </is>
      </c>
      <c r="I505" t="inlineStr">
        <is>
          <t>No</t>
        </is>
      </c>
      <c r="J505" t="inlineStr">
        <is>
          <t>0</t>
        </is>
      </c>
      <c r="K505" t="inlineStr">
        <is>
          <t>McReynolds, Paul, 1919-</t>
        </is>
      </c>
      <c r="L505" t="inlineStr">
        <is>
          <t>Palo Alto, Calif. : Science and Behavior Books, 1968-</t>
        </is>
      </c>
      <c r="M505" t="inlineStr">
        <is>
          <t>1968</t>
        </is>
      </c>
      <c r="O505" t="inlineStr">
        <is>
          <t>eng</t>
        </is>
      </c>
      <c r="P505" t="inlineStr">
        <is>
          <t>cau</t>
        </is>
      </c>
      <c r="R505" t="inlineStr">
        <is>
          <t xml:space="preserve">BF </t>
        </is>
      </c>
      <c r="S505" t="n">
        <v>0</v>
      </c>
      <c r="T505" t="n">
        <v>2</v>
      </c>
      <c r="V505" t="inlineStr">
        <is>
          <t>2001-01-09</t>
        </is>
      </c>
      <c r="W505" t="inlineStr">
        <is>
          <t>1992-10-23</t>
        </is>
      </c>
      <c r="X505" t="inlineStr">
        <is>
          <t>1992-10-23</t>
        </is>
      </c>
      <c r="Y505" t="n">
        <v>498</v>
      </c>
      <c r="Z505" t="n">
        <v>446</v>
      </c>
      <c r="AA505" t="n">
        <v>498</v>
      </c>
      <c r="AB505" t="n">
        <v>3</v>
      </c>
      <c r="AC505" t="n">
        <v>3</v>
      </c>
      <c r="AD505" t="n">
        <v>21</v>
      </c>
      <c r="AE505" t="n">
        <v>22</v>
      </c>
      <c r="AF505" t="n">
        <v>9</v>
      </c>
      <c r="AG505" t="n">
        <v>9</v>
      </c>
      <c r="AH505" t="n">
        <v>5</v>
      </c>
      <c r="AI505" t="n">
        <v>5</v>
      </c>
      <c r="AJ505" t="n">
        <v>14</v>
      </c>
      <c r="AK505" t="n">
        <v>15</v>
      </c>
      <c r="AL505" t="n">
        <v>1</v>
      </c>
      <c r="AM505" t="n">
        <v>1</v>
      </c>
      <c r="AN505" t="n">
        <v>0</v>
      </c>
      <c r="AO505" t="n">
        <v>0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5">
        <f>HYPERLINK("http://www.worldcat.org/oclc/10373486","WorldCat Record")</f>
        <v/>
      </c>
      <c r="AU505" t="inlineStr">
        <is>
          <t>132883933:eng</t>
        </is>
      </c>
      <c r="AV505" t="inlineStr">
        <is>
          <t>10373486</t>
        </is>
      </c>
      <c r="AW505" t="inlineStr">
        <is>
          <t>991001180369702656</t>
        </is>
      </c>
      <c r="AX505" t="inlineStr">
        <is>
          <t>991001180369702656</t>
        </is>
      </c>
      <c r="AY505" t="inlineStr">
        <is>
          <t>2259689080002656</t>
        </is>
      </c>
      <c r="AZ505" t="inlineStr">
        <is>
          <t>BOOK</t>
        </is>
      </c>
      <c r="BB505" t="inlineStr">
        <is>
          <t>9780831499266</t>
        </is>
      </c>
      <c r="BC505" t="inlineStr">
        <is>
          <t>32285001377810</t>
        </is>
      </c>
      <c r="BD505" t="inlineStr">
        <is>
          <t>893885108</t>
        </is>
      </c>
    </row>
    <row r="506">
      <c r="A506" t="inlineStr">
        <is>
          <t>No</t>
        </is>
      </c>
      <c r="B506" t="inlineStr">
        <is>
          <t>BF39 .M22 V.3</t>
        </is>
      </c>
      <c r="C506" t="inlineStr">
        <is>
          <t>0                      BF 0039000M  22                                                      V.3</t>
        </is>
      </c>
      <c r="D506" t="inlineStr">
        <is>
          <t>Advances in psychological assessment.</t>
        </is>
      </c>
      <c r="E506" t="inlineStr">
        <is>
          <t>V.3*</t>
        </is>
      </c>
      <c r="F506" t="inlineStr">
        <is>
          <t>Yes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McReynolds, Paul, 1919-</t>
        </is>
      </c>
      <c r="L506" t="inlineStr">
        <is>
          <t>Palo Alto, Calif. : Science and Behavior Books, 1968-</t>
        </is>
      </c>
      <c r="M506" t="inlineStr">
        <is>
          <t>1968</t>
        </is>
      </c>
      <c r="O506" t="inlineStr">
        <is>
          <t>eng</t>
        </is>
      </c>
      <c r="P506" t="inlineStr">
        <is>
          <t>cau</t>
        </is>
      </c>
      <c r="R506" t="inlineStr">
        <is>
          <t xml:space="preserve">BF </t>
        </is>
      </c>
      <c r="S506" t="n">
        <v>0</v>
      </c>
      <c r="T506" t="n">
        <v>2</v>
      </c>
      <c r="V506" t="inlineStr">
        <is>
          <t>2001-01-09</t>
        </is>
      </c>
      <c r="W506" t="inlineStr">
        <is>
          <t>1992-10-23</t>
        </is>
      </c>
      <c r="X506" t="inlineStr">
        <is>
          <t>1992-10-23</t>
        </is>
      </c>
      <c r="Y506" t="n">
        <v>498</v>
      </c>
      <c r="Z506" t="n">
        <v>446</v>
      </c>
      <c r="AA506" t="n">
        <v>498</v>
      </c>
      <c r="AB506" t="n">
        <v>3</v>
      </c>
      <c r="AC506" t="n">
        <v>3</v>
      </c>
      <c r="AD506" t="n">
        <v>21</v>
      </c>
      <c r="AE506" t="n">
        <v>22</v>
      </c>
      <c r="AF506" t="n">
        <v>9</v>
      </c>
      <c r="AG506" t="n">
        <v>9</v>
      </c>
      <c r="AH506" t="n">
        <v>5</v>
      </c>
      <c r="AI506" t="n">
        <v>5</v>
      </c>
      <c r="AJ506" t="n">
        <v>14</v>
      </c>
      <c r="AK506" t="n">
        <v>15</v>
      </c>
      <c r="AL506" t="n">
        <v>1</v>
      </c>
      <c r="AM506" t="n">
        <v>1</v>
      </c>
      <c r="AN506" t="n">
        <v>0</v>
      </c>
      <c r="AO506" t="n">
        <v>0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6">
        <f>HYPERLINK("http://www.worldcat.org/oclc/10373486","WorldCat Record")</f>
        <v/>
      </c>
      <c r="AU506" t="inlineStr">
        <is>
          <t>132883933:eng</t>
        </is>
      </c>
      <c r="AV506" t="inlineStr">
        <is>
          <t>10373486</t>
        </is>
      </c>
      <c r="AW506" t="inlineStr">
        <is>
          <t>991001180369702656</t>
        </is>
      </c>
      <c r="AX506" t="inlineStr">
        <is>
          <t>991001180369702656</t>
        </is>
      </c>
      <c r="AY506" t="inlineStr">
        <is>
          <t>2259689080002656</t>
        </is>
      </c>
      <c r="AZ506" t="inlineStr">
        <is>
          <t>BOOK</t>
        </is>
      </c>
      <c r="BB506" t="inlineStr">
        <is>
          <t>9780831499266</t>
        </is>
      </c>
      <c r="BC506" t="inlineStr">
        <is>
          <t>32285001377828</t>
        </is>
      </c>
      <c r="BD506" t="inlineStr">
        <is>
          <t>893891375</t>
        </is>
      </c>
    </row>
    <row r="507">
      <c r="A507" t="inlineStr">
        <is>
          <t>No</t>
        </is>
      </c>
      <c r="B507" t="inlineStr">
        <is>
          <t>BF39 .M22 V.4</t>
        </is>
      </c>
      <c r="C507" t="inlineStr">
        <is>
          <t>0                      BF 0039000M  22                                                      V.4</t>
        </is>
      </c>
      <c r="D507" t="inlineStr">
        <is>
          <t>Advances in psychological assessment.</t>
        </is>
      </c>
      <c r="E507" t="inlineStr">
        <is>
          <t>V.4*</t>
        </is>
      </c>
      <c r="F507" t="inlineStr">
        <is>
          <t>Yes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McReynolds, Paul, 1919-</t>
        </is>
      </c>
      <c r="L507" t="inlineStr">
        <is>
          <t>Palo Alto, Calif. : Science and Behavior Books, 1968-</t>
        </is>
      </c>
      <c r="M507" t="inlineStr">
        <is>
          <t>1968</t>
        </is>
      </c>
      <c r="O507" t="inlineStr">
        <is>
          <t>eng</t>
        </is>
      </c>
      <c r="P507" t="inlineStr">
        <is>
          <t>cau</t>
        </is>
      </c>
      <c r="R507" t="inlineStr">
        <is>
          <t xml:space="preserve">BF </t>
        </is>
      </c>
      <c r="S507" t="n">
        <v>1</v>
      </c>
      <c r="T507" t="n">
        <v>2</v>
      </c>
      <c r="U507" t="inlineStr">
        <is>
          <t>2001-01-09</t>
        </is>
      </c>
      <c r="V507" t="inlineStr">
        <is>
          <t>2001-01-09</t>
        </is>
      </c>
      <c r="W507" t="inlineStr">
        <is>
          <t>1992-10-23</t>
        </is>
      </c>
      <c r="X507" t="inlineStr">
        <is>
          <t>1992-10-23</t>
        </is>
      </c>
      <c r="Y507" t="n">
        <v>498</v>
      </c>
      <c r="Z507" t="n">
        <v>446</v>
      </c>
      <c r="AA507" t="n">
        <v>498</v>
      </c>
      <c r="AB507" t="n">
        <v>3</v>
      </c>
      <c r="AC507" t="n">
        <v>3</v>
      </c>
      <c r="AD507" t="n">
        <v>21</v>
      </c>
      <c r="AE507" t="n">
        <v>22</v>
      </c>
      <c r="AF507" t="n">
        <v>9</v>
      </c>
      <c r="AG507" t="n">
        <v>9</v>
      </c>
      <c r="AH507" t="n">
        <v>5</v>
      </c>
      <c r="AI507" t="n">
        <v>5</v>
      </c>
      <c r="AJ507" t="n">
        <v>14</v>
      </c>
      <c r="AK507" t="n">
        <v>15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7">
        <f>HYPERLINK("http://www.worldcat.org/oclc/10373486","WorldCat Record")</f>
        <v/>
      </c>
      <c r="AU507" t="inlineStr">
        <is>
          <t>132883933:eng</t>
        </is>
      </c>
      <c r="AV507" t="inlineStr">
        <is>
          <t>10373486</t>
        </is>
      </c>
      <c r="AW507" t="inlineStr">
        <is>
          <t>991001180369702656</t>
        </is>
      </c>
      <c r="AX507" t="inlineStr">
        <is>
          <t>991001180369702656</t>
        </is>
      </c>
      <c r="AY507" t="inlineStr">
        <is>
          <t>2259689080002656</t>
        </is>
      </c>
      <c r="AZ507" t="inlineStr">
        <is>
          <t>BOOK</t>
        </is>
      </c>
      <c r="BB507" t="inlineStr">
        <is>
          <t>9780831499266</t>
        </is>
      </c>
      <c r="BC507" t="inlineStr">
        <is>
          <t>32285001377836</t>
        </is>
      </c>
      <c r="BD507" t="inlineStr">
        <is>
          <t>893878697</t>
        </is>
      </c>
    </row>
    <row r="508">
      <c r="A508" t="inlineStr">
        <is>
          <t>No</t>
        </is>
      </c>
      <c r="B508" t="inlineStr">
        <is>
          <t>BF39 .M22 V.5</t>
        </is>
      </c>
      <c r="C508" t="inlineStr">
        <is>
          <t>0                      BF 0039000M  22                                                      V.5</t>
        </is>
      </c>
      <c r="D508" t="inlineStr">
        <is>
          <t>Advances in psychological assessment.</t>
        </is>
      </c>
      <c r="E508" t="inlineStr">
        <is>
          <t>V.5*</t>
        </is>
      </c>
      <c r="F508" t="inlineStr">
        <is>
          <t>Yes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McReynolds, Paul, 1919-</t>
        </is>
      </c>
      <c r="L508" t="inlineStr">
        <is>
          <t>Palo Alto, Calif. : Science and Behavior Books, 1968-</t>
        </is>
      </c>
      <c r="M508" t="inlineStr">
        <is>
          <t>1968</t>
        </is>
      </c>
      <c r="O508" t="inlineStr">
        <is>
          <t>eng</t>
        </is>
      </c>
      <c r="P508" t="inlineStr">
        <is>
          <t>cau</t>
        </is>
      </c>
      <c r="R508" t="inlineStr">
        <is>
          <t xml:space="preserve">BF </t>
        </is>
      </c>
      <c r="S508" t="n">
        <v>1</v>
      </c>
      <c r="T508" t="n">
        <v>2</v>
      </c>
      <c r="U508" t="inlineStr">
        <is>
          <t>2001-01-09</t>
        </is>
      </c>
      <c r="V508" t="inlineStr">
        <is>
          <t>2001-01-09</t>
        </is>
      </c>
      <c r="W508" t="inlineStr">
        <is>
          <t>1992-10-23</t>
        </is>
      </c>
      <c r="X508" t="inlineStr">
        <is>
          <t>1992-10-23</t>
        </is>
      </c>
      <c r="Y508" t="n">
        <v>498</v>
      </c>
      <c r="Z508" t="n">
        <v>446</v>
      </c>
      <c r="AA508" t="n">
        <v>498</v>
      </c>
      <c r="AB508" t="n">
        <v>3</v>
      </c>
      <c r="AC508" t="n">
        <v>3</v>
      </c>
      <c r="AD508" t="n">
        <v>21</v>
      </c>
      <c r="AE508" t="n">
        <v>22</v>
      </c>
      <c r="AF508" t="n">
        <v>9</v>
      </c>
      <c r="AG508" t="n">
        <v>9</v>
      </c>
      <c r="AH508" t="n">
        <v>5</v>
      </c>
      <c r="AI508" t="n">
        <v>5</v>
      </c>
      <c r="AJ508" t="n">
        <v>14</v>
      </c>
      <c r="AK508" t="n">
        <v>15</v>
      </c>
      <c r="AL508" t="n">
        <v>1</v>
      </c>
      <c r="AM508" t="n">
        <v>1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HYPERLINK("https://creighton-primo.hosted.exlibrisgroup.com/primo-explore/search?tab=default_tab&amp;search_scope=EVERYTHING&amp;vid=01CRU&amp;lang=en_US&amp;offset=0&amp;query=any,contains,991001180369702656","Catalog Record")</f>
        <v/>
      </c>
      <c r="AT508">
        <f>HYPERLINK("http://www.worldcat.org/oclc/10373486","WorldCat Record")</f>
        <v/>
      </c>
      <c r="AU508" t="inlineStr">
        <is>
          <t>132883933:eng</t>
        </is>
      </c>
      <c r="AV508" t="inlineStr">
        <is>
          <t>10373486</t>
        </is>
      </c>
      <c r="AW508" t="inlineStr">
        <is>
          <t>991001180369702656</t>
        </is>
      </c>
      <c r="AX508" t="inlineStr">
        <is>
          <t>991001180369702656</t>
        </is>
      </c>
      <c r="AY508" t="inlineStr">
        <is>
          <t>2259689080002656</t>
        </is>
      </c>
      <c r="AZ508" t="inlineStr">
        <is>
          <t>BOOK</t>
        </is>
      </c>
      <c r="BB508" t="inlineStr">
        <is>
          <t>9780831499266</t>
        </is>
      </c>
      <c r="BC508" t="inlineStr">
        <is>
          <t>32285001377844</t>
        </is>
      </c>
      <c r="BD508" t="inlineStr">
        <is>
          <t>893866029</t>
        </is>
      </c>
    </row>
    <row r="509">
      <c r="A509" t="inlineStr">
        <is>
          <t>No</t>
        </is>
      </c>
      <c r="B509" t="inlineStr">
        <is>
          <t>BF39 .P43 1968b</t>
        </is>
      </c>
      <c r="C509" t="inlineStr">
        <is>
          <t>0                      BF 0039000P  43          1968b</t>
        </is>
      </c>
      <c r="D509" t="inlineStr">
        <is>
          <t>Theory of measurement, by J. Pfanzagl, in cooperation with V. Baumann and H. Huber.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Pfanzagl, J. (Johann)</t>
        </is>
      </c>
      <c r="L509" t="inlineStr">
        <is>
          <t>New York, Wiley, 1968.</t>
        </is>
      </c>
      <c r="M509" t="inlineStr">
        <is>
          <t>1968</t>
        </is>
      </c>
      <c r="O509" t="inlineStr">
        <is>
          <t>eng</t>
        </is>
      </c>
      <c r="P509" t="inlineStr">
        <is>
          <t>nyu</t>
        </is>
      </c>
      <c r="R509" t="inlineStr">
        <is>
          <t xml:space="preserve">BF </t>
        </is>
      </c>
      <c r="S509" t="n">
        <v>5</v>
      </c>
      <c r="T509" t="n">
        <v>5</v>
      </c>
      <c r="U509" t="inlineStr">
        <is>
          <t>2006-10-22</t>
        </is>
      </c>
      <c r="V509" t="inlineStr">
        <is>
          <t>2006-10-22</t>
        </is>
      </c>
      <c r="W509" t="inlineStr">
        <is>
          <t>1996-07-23</t>
        </is>
      </c>
      <c r="X509" t="inlineStr">
        <is>
          <t>1996-07-23</t>
        </is>
      </c>
      <c r="Y509" t="n">
        <v>260</v>
      </c>
      <c r="Z509" t="n">
        <v>229</v>
      </c>
      <c r="AA509" t="n">
        <v>338</v>
      </c>
      <c r="AB509" t="n">
        <v>1</v>
      </c>
      <c r="AC509" t="n">
        <v>2</v>
      </c>
      <c r="AD509" t="n">
        <v>11</v>
      </c>
      <c r="AE509" t="n">
        <v>13</v>
      </c>
      <c r="AF509" t="n">
        <v>2</v>
      </c>
      <c r="AG509" t="n">
        <v>2</v>
      </c>
      <c r="AH509" t="n">
        <v>2</v>
      </c>
      <c r="AI509" t="n">
        <v>2</v>
      </c>
      <c r="AJ509" t="n">
        <v>8</v>
      </c>
      <c r="AK509" t="n">
        <v>9</v>
      </c>
      <c r="AL509" t="n">
        <v>0</v>
      </c>
      <c r="AM509" t="n">
        <v>1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HYPERLINK("http://catalog.hathitrust.org/Record/005714192","HathiTrust Record")</f>
        <v/>
      </c>
      <c r="AS509">
        <f>HYPERLINK("https://creighton-primo.hosted.exlibrisgroup.com/primo-explore/search?tab=default_tab&amp;search_scope=EVERYTHING&amp;vid=01CRU&amp;lang=en_US&amp;offset=0&amp;query=any,contains,991005431239702656","Catalog Record")</f>
        <v/>
      </c>
      <c r="AT509">
        <f>HYPERLINK("http://www.worldcat.org/oclc/297","WorldCat Record")</f>
        <v/>
      </c>
      <c r="AU509" t="inlineStr">
        <is>
          <t>1123517:eng</t>
        </is>
      </c>
      <c r="AV509" t="inlineStr">
        <is>
          <t>297</t>
        </is>
      </c>
      <c r="AW509" t="inlineStr">
        <is>
          <t>991005431239702656</t>
        </is>
      </c>
      <c r="AX509" t="inlineStr">
        <is>
          <t>991005431239702656</t>
        </is>
      </c>
      <c r="AY509" t="inlineStr">
        <is>
          <t>2272560610002656</t>
        </is>
      </c>
      <c r="AZ509" t="inlineStr">
        <is>
          <t>BOOK</t>
        </is>
      </c>
      <c r="BC509" t="inlineStr">
        <is>
          <t>32285002233582</t>
        </is>
      </c>
      <c r="BD509" t="inlineStr">
        <is>
          <t>893446909</t>
        </is>
      </c>
    </row>
    <row r="510">
      <c r="A510" t="inlineStr">
        <is>
          <t>No</t>
        </is>
      </c>
      <c r="B510" t="inlineStr">
        <is>
          <t>BF39 .R33</t>
        </is>
      </c>
      <c r="C510" t="inlineStr">
        <is>
          <t>0                      BF 0039000R  33</t>
        </is>
      </c>
      <c r="D510" t="inlineStr">
        <is>
          <t>Statistics in psychological research.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Ray, William S. (William Samuel), 1917-1990.</t>
        </is>
      </c>
      <c r="L510" t="inlineStr">
        <is>
          <t>New York, Macmillan [1962]</t>
        </is>
      </c>
      <c r="M510" t="inlineStr">
        <is>
          <t>1962</t>
        </is>
      </c>
      <c r="O510" t="inlineStr">
        <is>
          <t>eng</t>
        </is>
      </c>
      <c r="P510" t="inlineStr">
        <is>
          <t>nyu</t>
        </is>
      </c>
      <c r="R510" t="inlineStr">
        <is>
          <t xml:space="preserve">BF </t>
        </is>
      </c>
      <c r="S510" t="n">
        <v>2</v>
      </c>
      <c r="T510" t="n">
        <v>2</v>
      </c>
      <c r="U510" t="inlineStr">
        <is>
          <t>1996-11-22</t>
        </is>
      </c>
      <c r="V510" t="inlineStr">
        <is>
          <t>1996-11-22</t>
        </is>
      </c>
      <c r="W510" t="inlineStr">
        <is>
          <t>1996-07-23</t>
        </is>
      </c>
      <c r="X510" t="inlineStr">
        <is>
          <t>1996-07-23</t>
        </is>
      </c>
      <c r="Y510" t="n">
        <v>402</v>
      </c>
      <c r="Z510" t="n">
        <v>323</v>
      </c>
      <c r="AA510" t="n">
        <v>325</v>
      </c>
      <c r="AB510" t="n">
        <v>3</v>
      </c>
      <c r="AC510" t="n">
        <v>3</v>
      </c>
      <c r="AD510" t="n">
        <v>16</v>
      </c>
      <c r="AE510" t="n">
        <v>16</v>
      </c>
      <c r="AF510" t="n">
        <v>7</v>
      </c>
      <c r="AG510" t="n">
        <v>7</v>
      </c>
      <c r="AH510" t="n">
        <v>1</v>
      </c>
      <c r="AI510" t="n">
        <v>1</v>
      </c>
      <c r="AJ510" t="n">
        <v>11</v>
      </c>
      <c r="AK510" t="n">
        <v>11</v>
      </c>
      <c r="AL510" t="n">
        <v>2</v>
      </c>
      <c r="AM510" t="n">
        <v>2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HYPERLINK("http://catalog.hathitrust.org/Record/000615324","HathiTrust Record")</f>
        <v/>
      </c>
      <c r="AS510">
        <f>HYPERLINK("https://creighton-primo.hosted.exlibrisgroup.com/primo-explore/search?tab=default_tab&amp;search_scope=EVERYTHING&amp;vid=01CRU&amp;lang=en_US&amp;offset=0&amp;query=any,contains,991002969179702656","Catalog Record")</f>
        <v/>
      </c>
      <c r="AT510">
        <f>HYPERLINK("http://www.worldcat.org/oclc/547566","WorldCat Record")</f>
        <v/>
      </c>
      <c r="AU510" t="inlineStr">
        <is>
          <t>1581413:eng</t>
        </is>
      </c>
      <c r="AV510" t="inlineStr">
        <is>
          <t>547566</t>
        </is>
      </c>
      <c r="AW510" t="inlineStr">
        <is>
          <t>991002969179702656</t>
        </is>
      </c>
      <c r="AX510" t="inlineStr">
        <is>
          <t>991002969179702656</t>
        </is>
      </c>
      <c r="AY510" t="inlineStr">
        <is>
          <t>2262841070002656</t>
        </is>
      </c>
      <c r="AZ510" t="inlineStr">
        <is>
          <t>BOOK</t>
        </is>
      </c>
      <c r="BC510" t="inlineStr">
        <is>
          <t>32285002233590</t>
        </is>
      </c>
      <c r="BD510" t="inlineStr">
        <is>
          <t>893793167</t>
        </is>
      </c>
    </row>
    <row r="511">
      <c r="A511" t="inlineStr">
        <is>
          <t>No</t>
        </is>
      </c>
      <c r="B511" t="inlineStr">
        <is>
          <t>BF39 .R545 1992</t>
        </is>
      </c>
      <c r="C511" t="inlineStr">
        <is>
          <t>0                      BF 0039000R  545         1992</t>
        </is>
      </c>
      <c r="D511" t="inlineStr">
        <is>
          <t>The structure of personal characteristics / David M. Romney and John M. Bynner.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Romney, David M.</t>
        </is>
      </c>
      <c r="L511" t="inlineStr">
        <is>
          <t>Westport, Conn. : Praeger, 1992.</t>
        </is>
      </c>
      <c r="M511" t="inlineStr">
        <is>
          <t>1992</t>
        </is>
      </c>
      <c r="O511" t="inlineStr">
        <is>
          <t>eng</t>
        </is>
      </c>
      <c r="P511" t="inlineStr">
        <is>
          <t>ctu</t>
        </is>
      </c>
      <c r="R511" t="inlineStr">
        <is>
          <t xml:space="preserve">BF </t>
        </is>
      </c>
      <c r="S511" t="n">
        <v>1</v>
      </c>
      <c r="T511" t="n">
        <v>1</v>
      </c>
      <c r="U511" t="inlineStr">
        <is>
          <t>2010-04-05</t>
        </is>
      </c>
      <c r="V511" t="inlineStr">
        <is>
          <t>2010-04-05</t>
        </is>
      </c>
      <c r="W511" t="inlineStr">
        <is>
          <t>1994-05-06</t>
        </is>
      </c>
      <c r="X511" t="inlineStr">
        <is>
          <t>1994-05-06</t>
        </is>
      </c>
      <c r="Y511" t="n">
        <v>242</v>
      </c>
      <c r="Z511" t="n">
        <v>197</v>
      </c>
      <c r="AA511" t="n">
        <v>205</v>
      </c>
      <c r="AB511" t="n">
        <v>3</v>
      </c>
      <c r="AC511" t="n">
        <v>3</v>
      </c>
      <c r="AD511" t="n">
        <v>10</v>
      </c>
      <c r="AE511" t="n">
        <v>10</v>
      </c>
      <c r="AF511" t="n">
        <v>4</v>
      </c>
      <c r="AG511" t="n">
        <v>4</v>
      </c>
      <c r="AH511" t="n">
        <v>3</v>
      </c>
      <c r="AI511" t="n">
        <v>3</v>
      </c>
      <c r="AJ511" t="n">
        <v>6</v>
      </c>
      <c r="AK511" t="n">
        <v>6</v>
      </c>
      <c r="AL511" t="n">
        <v>2</v>
      </c>
      <c r="AM511" t="n">
        <v>2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HYPERLINK("http://catalog.hathitrust.org/Record/002595488","HathiTrust Record")</f>
        <v/>
      </c>
      <c r="AS511">
        <f>HYPERLINK("https://creighton-primo.hosted.exlibrisgroup.com/primo-explore/search?tab=default_tab&amp;search_scope=EVERYTHING&amp;vid=01CRU&amp;lang=en_US&amp;offset=0&amp;query=any,contains,991002036909702656","Catalog Record")</f>
        <v/>
      </c>
      <c r="AT511">
        <f>HYPERLINK("http://www.worldcat.org/oclc/25965136","WorldCat Record")</f>
        <v/>
      </c>
      <c r="AU511" t="inlineStr">
        <is>
          <t>2569817:eng</t>
        </is>
      </c>
      <c r="AV511" t="inlineStr">
        <is>
          <t>25965136</t>
        </is>
      </c>
      <c r="AW511" t="inlineStr">
        <is>
          <t>991002036909702656</t>
        </is>
      </c>
      <c r="AX511" t="inlineStr">
        <is>
          <t>991002036909702656</t>
        </is>
      </c>
      <c r="AY511" t="inlineStr">
        <is>
          <t>2261153950002656</t>
        </is>
      </c>
      <c r="AZ511" t="inlineStr">
        <is>
          <t>BOOK</t>
        </is>
      </c>
      <c r="BB511" t="inlineStr">
        <is>
          <t>9780275939953</t>
        </is>
      </c>
      <c r="BC511" t="inlineStr">
        <is>
          <t>32285001879286</t>
        </is>
      </c>
      <c r="BD511" t="inlineStr">
        <is>
          <t>893879428</t>
        </is>
      </c>
    </row>
    <row r="512">
      <c r="A512" t="inlineStr">
        <is>
          <t>No</t>
        </is>
      </c>
      <c r="B512" t="inlineStr">
        <is>
          <t>BF39 .S8</t>
        </is>
      </c>
      <c r="C512" t="inlineStr">
        <is>
          <t>0                      BF 0039000S  8</t>
        </is>
      </c>
      <c r="D512" t="inlineStr">
        <is>
          <t>The study of behavior : Q-technique and its methodology.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Stephenson, William.</t>
        </is>
      </c>
      <c r="L512" t="inlineStr">
        <is>
          <t>[Chicago] : University of Chicago Press [c1953]</t>
        </is>
      </c>
      <c r="M512" t="inlineStr">
        <is>
          <t>1953</t>
        </is>
      </c>
      <c r="O512" t="inlineStr">
        <is>
          <t>eng</t>
        </is>
      </c>
      <c r="P512" t="inlineStr">
        <is>
          <t>ilu</t>
        </is>
      </c>
      <c r="R512" t="inlineStr">
        <is>
          <t xml:space="preserve">BF </t>
        </is>
      </c>
      <c r="S512" t="n">
        <v>3</v>
      </c>
      <c r="T512" t="n">
        <v>3</v>
      </c>
      <c r="U512" t="inlineStr">
        <is>
          <t>1999-06-18</t>
        </is>
      </c>
      <c r="V512" t="inlineStr">
        <is>
          <t>1999-06-18</t>
        </is>
      </c>
      <c r="W512" t="inlineStr">
        <is>
          <t>1992-04-15</t>
        </is>
      </c>
      <c r="X512" t="inlineStr">
        <is>
          <t>1992-04-15</t>
        </is>
      </c>
      <c r="Y512" t="n">
        <v>35</v>
      </c>
      <c r="Z512" t="n">
        <v>25</v>
      </c>
      <c r="AA512" t="n">
        <v>604</v>
      </c>
      <c r="AB512" t="n">
        <v>2</v>
      </c>
      <c r="AC512" t="n">
        <v>3</v>
      </c>
      <c r="AD512" t="n">
        <v>1</v>
      </c>
      <c r="AE512" t="n">
        <v>25</v>
      </c>
      <c r="AF512" t="n">
        <v>0</v>
      </c>
      <c r="AG512" t="n">
        <v>9</v>
      </c>
      <c r="AH512" t="n">
        <v>0</v>
      </c>
      <c r="AI512" t="n">
        <v>5</v>
      </c>
      <c r="AJ512" t="n">
        <v>0</v>
      </c>
      <c r="AK512" t="n">
        <v>16</v>
      </c>
      <c r="AL512" t="n">
        <v>1</v>
      </c>
      <c r="AM512" t="n">
        <v>2</v>
      </c>
      <c r="AN512" t="n">
        <v>0</v>
      </c>
      <c r="AO512" t="n">
        <v>0</v>
      </c>
      <c r="AP512" t="inlineStr">
        <is>
          <t>No</t>
        </is>
      </c>
      <c r="AQ512" t="inlineStr">
        <is>
          <t>No</t>
        </is>
      </c>
      <c r="AS512">
        <f>HYPERLINK("https://creighton-primo.hosted.exlibrisgroup.com/primo-explore/search?tab=default_tab&amp;search_scope=EVERYTHING&amp;vid=01CRU&amp;lang=en_US&amp;offset=0&amp;query=any,contains,991003941339702656","Catalog Record")</f>
        <v/>
      </c>
      <c r="AT512">
        <f>HYPERLINK("http://www.worldcat.org/oclc/1931594","WorldCat Record")</f>
        <v/>
      </c>
      <c r="AU512" t="inlineStr">
        <is>
          <t>3855517251:eng</t>
        </is>
      </c>
      <c r="AV512" t="inlineStr">
        <is>
          <t>1931594</t>
        </is>
      </c>
      <c r="AW512" t="inlineStr">
        <is>
          <t>991003941339702656</t>
        </is>
      </c>
      <c r="AX512" t="inlineStr">
        <is>
          <t>991003941339702656</t>
        </is>
      </c>
      <c r="AY512" t="inlineStr">
        <is>
          <t>2268189950002656</t>
        </is>
      </c>
      <c r="AZ512" t="inlineStr">
        <is>
          <t>BOOK</t>
        </is>
      </c>
      <c r="BC512" t="inlineStr">
        <is>
          <t>32285001062669</t>
        </is>
      </c>
      <c r="BD512" t="inlineStr">
        <is>
          <t>893781664</t>
        </is>
      </c>
    </row>
    <row r="513">
      <c r="A513" t="inlineStr">
        <is>
          <t>No</t>
        </is>
      </c>
      <c r="B513" t="inlineStr">
        <is>
          <t>BF39 .T6</t>
        </is>
      </c>
      <c r="C513" t="inlineStr">
        <is>
          <t>0                      BF 0039000T  6</t>
        </is>
      </c>
      <c r="D513" t="inlineStr">
        <is>
          <t>Theory and methods of scaling.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K513" t="inlineStr">
        <is>
          <t>Torgerson, Warren S.</t>
        </is>
      </c>
      <c r="L513" t="inlineStr">
        <is>
          <t>New York, Wiley [1965, c1958]</t>
        </is>
      </c>
      <c r="M513" t="inlineStr">
        <is>
          <t>1965</t>
        </is>
      </c>
      <c r="O513" t="inlineStr">
        <is>
          <t>eng</t>
        </is>
      </c>
      <c r="P513" t="inlineStr">
        <is>
          <t xml:space="preserve">xx </t>
        </is>
      </c>
      <c r="R513" t="inlineStr">
        <is>
          <t xml:space="preserve">BF </t>
        </is>
      </c>
      <c r="S513" t="n">
        <v>2</v>
      </c>
      <c r="T513" t="n">
        <v>2</v>
      </c>
      <c r="U513" t="inlineStr">
        <is>
          <t>2006-10-22</t>
        </is>
      </c>
      <c r="V513" t="inlineStr">
        <is>
          <t>2006-10-22</t>
        </is>
      </c>
      <c r="W513" t="inlineStr">
        <is>
          <t>1996-07-23</t>
        </is>
      </c>
      <c r="X513" t="inlineStr">
        <is>
          <t>1996-07-23</t>
        </is>
      </c>
      <c r="Y513" t="n">
        <v>24</v>
      </c>
      <c r="Z513" t="n">
        <v>9</v>
      </c>
      <c r="AA513" t="n">
        <v>641</v>
      </c>
      <c r="AB513" t="n">
        <v>1</v>
      </c>
      <c r="AC513" t="n">
        <v>6</v>
      </c>
      <c r="AD513" t="n">
        <v>1</v>
      </c>
      <c r="AE513" t="n">
        <v>32</v>
      </c>
      <c r="AF513" t="n">
        <v>1</v>
      </c>
      <c r="AG513" t="n">
        <v>13</v>
      </c>
      <c r="AH513" t="n">
        <v>0</v>
      </c>
      <c r="AI513" t="n">
        <v>5</v>
      </c>
      <c r="AJ513" t="n">
        <v>0</v>
      </c>
      <c r="AK513" t="n">
        <v>16</v>
      </c>
      <c r="AL513" t="n">
        <v>0</v>
      </c>
      <c r="AM513" t="n">
        <v>4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HYPERLINK("https://creighton-primo.hosted.exlibrisgroup.com/primo-explore/search?tab=default_tab&amp;search_scope=EVERYTHING&amp;vid=01CRU&amp;lang=en_US&amp;offset=0&amp;query=any,contains,991000943719702656","Catalog Record")</f>
        <v/>
      </c>
      <c r="AT513">
        <f>HYPERLINK("http://www.worldcat.org/oclc/14478894","WorldCat Record")</f>
        <v/>
      </c>
      <c r="AU513" t="inlineStr">
        <is>
          <t>1349134:eng</t>
        </is>
      </c>
      <c r="AV513" t="inlineStr">
        <is>
          <t>14478894</t>
        </is>
      </c>
      <c r="AW513" t="inlineStr">
        <is>
          <t>991000943719702656</t>
        </is>
      </c>
      <c r="AX513" t="inlineStr">
        <is>
          <t>991000943719702656</t>
        </is>
      </c>
      <c r="AY513" t="inlineStr">
        <is>
          <t>2264661650002656</t>
        </is>
      </c>
      <c r="AZ513" t="inlineStr">
        <is>
          <t>BOOK</t>
        </is>
      </c>
      <c r="BC513" t="inlineStr">
        <is>
          <t>32285002233665</t>
        </is>
      </c>
      <c r="BD513" t="inlineStr">
        <is>
          <t>893261669</t>
        </is>
      </c>
    </row>
    <row r="514">
      <c r="A514" t="inlineStr">
        <is>
          <t>No</t>
        </is>
      </c>
      <c r="B514" t="inlineStr">
        <is>
          <t>BF39 .W63</t>
        </is>
      </c>
      <c r="C514" t="inlineStr">
        <is>
          <t>0                      BF 0039000W  63</t>
        </is>
      </c>
      <c r="D514" t="inlineStr">
        <is>
          <t>Basic concepts in testing / [by] Frank B. Womer.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Womer, Frank B. (Frank Burton), 1921-</t>
        </is>
      </c>
      <c r="L514" t="inlineStr">
        <is>
          <t>Boston : Houghton Mifflin, [1968]</t>
        </is>
      </c>
      <c r="M514" t="inlineStr">
        <is>
          <t>1968</t>
        </is>
      </c>
      <c r="O514" t="inlineStr">
        <is>
          <t>eng</t>
        </is>
      </c>
      <c r="P514" t="inlineStr">
        <is>
          <t>mau</t>
        </is>
      </c>
      <c r="Q514" t="inlineStr">
        <is>
          <t>Guidance monograph series. Series 3: Testing</t>
        </is>
      </c>
      <c r="R514" t="inlineStr">
        <is>
          <t xml:space="preserve">BF </t>
        </is>
      </c>
      <c r="S514" t="n">
        <v>6</v>
      </c>
      <c r="T514" t="n">
        <v>6</v>
      </c>
      <c r="U514" t="inlineStr">
        <is>
          <t>1994-10-21</t>
        </is>
      </c>
      <c r="V514" t="inlineStr">
        <is>
          <t>1994-10-21</t>
        </is>
      </c>
      <c r="W514" t="inlineStr">
        <is>
          <t>1992-10-23</t>
        </is>
      </c>
      <c r="X514" t="inlineStr">
        <is>
          <t>1992-10-23</t>
        </is>
      </c>
      <c r="Y514" t="n">
        <v>399</v>
      </c>
      <c r="Z514" t="n">
        <v>335</v>
      </c>
      <c r="AA514" t="n">
        <v>338</v>
      </c>
      <c r="AB514" t="n">
        <v>3</v>
      </c>
      <c r="AC514" t="n">
        <v>3</v>
      </c>
      <c r="AD514" t="n">
        <v>16</v>
      </c>
      <c r="AE514" t="n">
        <v>16</v>
      </c>
      <c r="AF514" t="n">
        <v>6</v>
      </c>
      <c r="AG514" t="n">
        <v>6</v>
      </c>
      <c r="AH514" t="n">
        <v>3</v>
      </c>
      <c r="AI514" t="n">
        <v>3</v>
      </c>
      <c r="AJ514" t="n">
        <v>10</v>
      </c>
      <c r="AK514" t="n">
        <v>10</v>
      </c>
      <c r="AL514" t="n">
        <v>2</v>
      </c>
      <c r="AM514" t="n">
        <v>2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HYPERLINK("http://catalog.hathitrust.org/Record/010655471","HathiTrust Record")</f>
        <v/>
      </c>
      <c r="AS514">
        <f>HYPERLINK("https://creighton-primo.hosted.exlibrisgroup.com/primo-explore/search?tab=default_tab&amp;search_scope=EVERYTHING&amp;vid=01CRU&amp;lang=en_US&amp;offset=0&amp;query=any,contains,991001181509702656","Catalog Record")</f>
        <v/>
      </c>
      <c r="AT514">
        <f>HYPERLINK("http://www.worldcat.org/oclc/190527","WorldCat Record")</f>
        <v/>
      </c>
      <c r="AU514" t="inlineStr">
        <is>
          <t>1348619:eng</t>
        </is>
      </c>
      <c r="AV514" t="inlineStr">
        <is>
          <t>190527</t>
        </is>
      </c>
      <c r="AW514" t="inlineStr">
        <is>
          <t>991001181509702656</t>
        </is>
      </c>
      <c r="AX514" t="inlineStr">
        <is>
          <t>991001181509702656</t>
        </is>
      </c>
      <c r="AY514" t="inlineStr">
        <is>
          <t>2259359070002656</t>
        </is>
      </c>
      <c r="AZ514" t="inlineStr">
        <is>
          <t>BOOK</t>
        </is>
      </c>
      <c r="BC514" t="inlineStr">
        <is>
          <t>32285001377950</t>
        </is>
      </c>
      <c r="BD514" t="inlineStr">
        <is>
          <t>893596265</t>
        </is>
      </c>
    </row>
    <row r="515">
      <c r="A515" t="inlineStr">
        <is>
          <t>No</t>
        </is>
      </c>
      <c r="B515" t="inlineStr">
        <is>
          <t>BF408 .M25</t>
        </is>
      </c>
      <c r="C515" t="inlineStr">
        <is>
          <t>0                      BF 0408000M  25</t>
        </is>
      </c>
      <c r="D515" t="inlineStr">
        <is>
          <t>Creative intuition in art and poetry.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Maritain, Jacques, 1882-1973.</t>
        </is>
      </c>
      <c r="L515" t="inlineStr">
        <is>
          <t>[New York] : Pantheon Books, [1953]</t>
        </is>
      </c>
      <c r="M515" t="inlineStr">
        <is>
          <t>1953</t>
        </is>
      </c>
      <c r="O515" t="inlineStr">
        <is>
          <t>eng</t>
        </is>
      </c>
      <c r="P515" t="inlineStr">
        <is>
          <t>nyu</t>
        </is>
      </c>
      <c r="Q515" t="inlineStr">
        <is>
          <t>Bollingen series, 35. The A. W. Mellon lectures in the fine arts, 1</t>
        </is>
      </c>
      <c r="R515" t="inlineStr">
        <is>
          <t xml:space="preserve">BF </t>
        </is>
      </c>
      <c r="S515" t="n">
        <v>3</v>
      </c>
      <c r="T515" t="n">
        <v>3</v>
      </c>
      <c r="U515" t="inlineStr">
        <is>
          <t>2001-05-09</t>
        </is>
      </c>
      <c r="V515" t="inlineStr">
        <is>
          <t>2001-05-09</t>
        </is>
      </c>
      <c r="W515" t="inlineStr">
        <is>
          <t>1996-07-29</t>
        </is>
      </c>
      <c r="X515" t="inlineStr">
        <is>
          <t>1996-07-29</t>
        </is>
      </c>
      <c r="Y515" t="n">
        <v>996</v>
      </c>
      <c r="Z515" t="n">
        <v>922</v>
      </c>
      <c r="AA515" t="n">
        <v>1301</v>
      </c>
      <c r="AB515" t="n">
        <v>7</v>
      </c>
      <c r="AC515" t="n">
        <v>11</v>
      </c>
      <c r="AD515" t="n">
        <v>49</v>
      </c>
      <c r="AE515" t="n">
        <v>56</v>
      </c>
      <c r="AF515" t="n">
        <v>20</v>
      </c>
      <c r="AG515" t="n">
        <v>25</v>
      </c>
      <c r="AH515" t="n">
        <v>10</v>
      </c>
      <c r="AI515" t="n">
        <v>10</v>
      </c>
      <c r="AJ515" t="n">
        <v>25</v>
      </c>
      <c r="AK515" t="n">
        <v>26</v>
      </c>
      <c r="AL515" t="n">
        <v>6</v>
      </c>
      <c r="AM515" t="n">
        <v>8</v>
      </c>
      <c r="AN515" t="n">
        <v>0</v>
      </c>
      <c r="AO515" t="n">
        <v>0</v>
      </c>
      <c r="AP515" t="inlineStr">
        <is>
          <t>No</t>
        </is>
      </c>
      <c r="AQ515" t="inlineStr">
        <is>
          <t>No</t>
        </is>
      </c>
      <c r="AR515">
        <f>HYPERLINK("http://catalog.hathitrust.org/Record/000003283","HathiTrust Record")</f>
        <v/>
      </c>
      <c r="AS515">
        <f>HYPERLINK("https://creighton-primo.hosted.exlibrisgroup.com/primo-explore/search?tab=default_tab&amp;search_scope=EVERYTHING&amp;vid=01CRU&amp;lang=en_US&amp;offset=0&amp;query=any,contains,991001376299702656","Catalog Record")</f>
        <v/>
      </c>
      <c r="AT515">
        <f>HYPERLINK("http://www.worldcat.org/oclc/224939","WorldCat Record")</f>
        <v/>
      </c>
      <c r="AU515" t="inlineStr">
        <is>
          <t>1335200:eng</t>
        </is>
      </c>
      <c r="AV515" t="inlineStr">
        <is>
          <t>224939</t>
        </is>
      </c>
      <c r="AW515" t="inlineStr">
        <is>
          <t>991001376299702656</t>
        </is>
      </c>
      <c r="AX515" t="inlineStr">
        <is>
          <t>991001376299702656</t>
        </is>
      </c>
      <c r="AY515" t="inlineStr">
        <is>
          <t>2263600190002656</t>
        </is>
      </c>
      <c r="AZ515" t="inlineStr">
        <is>
          <t>BOOK</t>
        </is>
      </c>
      <c r="BC515" t="inlineStr">
        <is>
          <t>32285002248010</t>
        </is>
      </c>
      <c r="BD515" t="inlineStr">
        <is>
          <t>893509583</t>
        </is>
      </c>
    </row>
    <row r="516">
      <c r="A516" t="inlineStr">
        <is>
          <t>No</t>
        </is>
      </c>
      <c r="B516" t="inlineStr">
        <is>
          <t>BF408 .M9 1979</t>
        </is>
      </c>
      <c r="C516" t="inlineStr">
        <is>
          <t>0                      BF 0408000M  9           1979</t>
        </is>
      </c>
      <c r="D516" t="inlineStr">
        <is>
          <t>Myth, creativity, psychoanalysis : essays in honor of Harry Slochower / edited by Maynard Solomon, with the assistance of Sophie Wilkins and Donald M. Kaplan.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Detroit : Wayne State University Press, 1978, c1979.</t>
        </is>
      </c>
      <c r="M516" t="inlineStr">
        <is>
          <t>1979</t>
        </is>
      </c>
      <c r="O516" t="inlineStr">
        <is>
          <t>eng</t>
        </is>
      </c>
      <c r="P516" t="inlineStr">
        <is>
          <t>miu</t>
        </is>
      </c>
      <c r="R516" t="inlineStr">
        <is>
          <t xml:space="preserve">BF </t>
        </is>
      </c>
      <c r="S516" t="n">
        <v>1</v>
      </c>
      <c r="T516" t="n">
        <v>1</v>
      </c>
      <c r="U516" t="inlineStr">
        <is>
          <t>2003-12-16</t>
        </is>
      </c>
      <c r="V516" t="inlineStr">
        <is>
          <t>2003-12-16</t>
        </is>
      </c>
      <c r="W516" t="inlineStr">
        <is>
          <t>2003-12-16</t>
        </is>
      </c>
      <c r="X516" t="inlineStr">
        <is>
          <t>2003-12-16</t>
        </is>
      </c>
      <c r="Y516" t="n">
        <v>241</v>
      </c>
      <c r="Z516" t="n">
        <v>207</v>
      </c>
      <c r="AA516" t="n">
        <v>213</v>
      </c>
      <c r="AB516" t="n">
        <v>2</v>
      </c>
      <c r="AC516" t="n">
        <v>2</v>
      </c>
      <c r="AD516" t="n">
        <v>14</v>
      </c>
      <c r="AE516" t="n">
        <v>14</v>
      </c>
      <c r="AF516" t="n">
        <v>5</v>
      </c>
      <c r="AG516" t="n">
        <v>5</v>
      </c>
      <c r="AH516" t="n">
        <v>5</v>
      </c>
      <c r="AI516" t="n">
        <v>5</v>
      </c>
      <c r="AJ516" t="n">
        <v>7</v>
      </c>
      <c r="AK516" t="n">
        <v>7</v>
      </c>
      <c r="AL516" t="n">
        <v>1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No</t>
        </is>
      </c>
      <c r="AS516">
        <f>HYPERLINK("https://creighton-primo.hosted.exlibrisgroup.com/primo-explore/search?tab=default_tab&amp;search_scope=EVERYTHING&amp;vid=01CRU&amp;lang=en_US&amp;offset=0&amp;query=any,contains,991004206879702656","Catalog Record")</f>
        <v/>
      </c>
      <c r="AT516">
        <f>HYPERLINK("http://www.worldcat.org/oclc/4496248","WorldCat Record")</f>
        <v/>
      </c>
      <c r="AU516" t="inlineStr">
        <is>
          <t>908333961:eng</t>
        </is>
      </c>
      <c r="AV516" t="inlineStr">
        <is>
          <t>4496248</t>
        </is>
      </c>
      <c r="AW516" t="inlineStr">
        <is>
          <t>991004206879702656</t>
        </is>
      </c>
      <c r="AX516" t="inlineStr">
        <is>
          <t>991004206879702656</t>
        </is>
      </c>
      <c r="AY516" t="inlineStr">
        <is>
          <t>2268763830002656</t>
        </is>
      </c>
      <c r="AZ516" t="inlineStr">
        <is>
          <t>BOOK</t>
        </is>
      </c>
      <c r="BB516" t="inlineStr">
        <is>
          <t>9780814315255</t>
        </is>
      </c>
      <c r="BC516" t="inlineStr">
        <is>
          <t>32285004847678</t>
        </is>
      </c>
      <c r="BD516" t="inlineStr">
        <is>
          <t>893519365</t>
        </is>
      </c>
    </row>
    <row r="517">
      <c r="A517" t="inlineStr">
        <is>
          <t>No</t>
        </is>
      </c>
      <c r="B517" t="inlineStr">
        <is>
          <t>BF408 .O775 1957</t>
        </is>
      </c>
      <c r="C517" t="inlineStr">
        <is>
          <t>0                      BF 0408000O  775         1957</t>
        </is>
      </c>
      <c r="D517" t="inlineStr">
        <is>
          <t>Applied imagination; principles and procedures of creative thinking.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Osborn, Alex F. (Alex Faickney)</t>
        </is>
      </c>
      <c r="L517" t="inlineStr">
        <is>
          <t>New York, Scribner [1957]</t>
        </is>
      </c>
      <c r="M517" t="inlineStr">
        <is>
          <t>1957</t>
        </is>
      </c>
      <c r="N517" t="inlineStr">
        <is>
          <t>Rev. ed.</t>
        </is>
      </c>
      <c r="O517" t="inlineStr">
        <is>
          <t>eng</t>
        </is>
      </c>
      <c r="P517" t="inlineStr">
        <is>
          <t>nyu</t>
        </is>
      </c>
      <c r="R517" t="inlineStr">
        <is>
          <t xml:space="preserve">BF </t>
        </is>
      </c>
      <c r="S517" t="n">
        <v>2</v>
      </c>
      <c r="T517" t="n">
        <v>2</v>
      </c>
      <c r="U517" t="inlineStr">
        <is>
          <t>1997-04-19</t>
        </is>
      </c>
      <c r="V517" t="inlineStr">
        <is>
          <t>1997-04-19</t>
        </is>
      </c>
      <c r="W517" t="inlineStr">
        <is>
          <t>1996-07-29</t>
        </is>
      </c>
      <c r="X517" t="inlineStr">
        <is>
          <t>1996-07-29</t>
        </is>
      </c>
      <c r="Y517" t="n">
        <v>332</v>
      </c>
      <c r="Z517" t="n">
        <v>311</v>
      </c>
      <c r="AA517" t="n">
        <v>564</v>
      </c>
      <c r="AB517" t="n">
        <v>2</v>
      </c>
      <c r="AC517" t="n">
        <v>4</v>
      </c>
      <c r="AD517" t="n">
        <v>6</v>
      </c>
      <c r="AE517" t="n">
        <v>20</v>
      </c>
      <c r="AF517" t="n">
        <v>3</v>
      </c>
      <c r="AG517" t="n">
        <v>5</v>
      </c>
      <c r="AH517" t="n">
        <v>2</v>
      </c>
      <c r="AI517" t="n">
        <v>6</v>
      </c>
      <c r="AJ517" t="n">
        <v>3</v>
      </c>
      <c r="AK517" t="n">
        <v>13</v>
      </c>
      <c r="AL517" t="n">
        <v>1</v>
      </c>
      <c r="AM517" t="n">
        <v>3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HYPERLINK("http://catalog.hathitrust.org/Record/000355939","HathiTrust Record")</f>
        <v/>
      </c>
      <c r="AS517">
        <f>HYPERLINK("https://creighton-primo.hosted.exlibrisgroup.com/primo-explore/search?tab=default_tab&amp;search_scope=EVERYTHING&amp;vid=01CRU&amp;lang=en_US&amp;offset=0&amp;query=any,contains,991003730399702656","Catalog Record")</f>
        <v/>
      </c>
      <c r="AT517">
        <f>HYPERLINK("http://www.worldcat.org/oclc/1381383","WorldCat Record")</f>
        <v/>
      </c>
      <c r="AU517" t="inlineStr">
        <is>
          <t>4535633721:eng</t>
        </is>
      </c>
      <c r="AV517" t="inlineStr">
        <is>
          <t>1381383</t>
        </is>
      </c>
      <c r="AW517" t="inlineStr">
        <is>
          <t>991003730399702656</t>
        </is>
      </c>
      <c r="AX517" t="inlineStr">
        <is>
          <t>991003730399702656</t>
        </is>
      </c>
      <c r="AY517" t="inlineStr">
        <is>
          <t>2258377850002656</t>
        </is>
      </c>
      <c r="AZ517" t="inlineStr">
        <is>
          <t>BOOK</t>
        </is>
      </c>
      <c r="BC517" t="inlineStr">
        <is>
          <t>32285002248044</t>
        </is>
      </c>
      <c r="BD517" t="inlineStr">
        <is>
          <t>893623830</t>
        </is>
      </c>
    </row>
    <row r="518">
      <c r="A518" t="inlineStr">
        <is>
          <t>No</t>
        </is>
      </c>
      <c r="B518" t="inlineStr">
        <is>
          <t>BF408.S37 I5 1965</t>
        </is>
      </c>
      <c r="C518" t="inlineStr">
        <is>
          <t>0                      BF 0408000S  37                 I  5           1965</t>
        </is>
      </c>
      <c r="D518" t="inlineStr">
        <is>
          <t>L'imagination.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Sartre, Jean-Paul, 1905-1980.</t>
        </is>
      </c>
      <c r="L518" t="inlineStr">
        <is>
          <t>Paris, Presses universtaires de France, 1965 [c1936]</t>
        </is>
      </c>
      <c r="M518" t="inlineStr">
        <is>
          <t>1965</t>
        </is>
      </c>
      <c r="N518" t="inlineStr">
        <is>
          <t>[6. ed.]</t>
        </is>
      </c>
      <c r="O518" t="inlineStr">
        <is>
          <t>fre</t>
        </is>
      </c>
      <c r="P518" t="inlineStr">
        <is>
          <t xml:space="preserve">fr </t>
        </is>
      </c>
      <c r="Q518" t="inlineStr">
        <is>
          <t>Nouvelle encyclopédie philosophique</t>
        </is>
      </c>
      <c r="R518" t="inlineStr">
        <is>
          <t xml:space="preserve">BF </t>
        </is>
      </c>
      <c r="S518" t="n">
        <v>1</v>
      </c>
      <c r="T518" t="n">
        <v>1</v>
      </c>
      <c r="U518" t="inlineStr">
        <is>
          <t>2010-10-06</t>
        </is>
      </c>
      <c r="V518" t="inlineStr">
        <is>
          <t>2010-10-06</t>
        </is>
      </c>
      <c r="W518" t="inlineStr">
        <is>
          <t>1996-07-29</t>
        </is>
      </c>
      <c r="X518" t="inlineStr">
        <is>
          <t>1996-07-29</t>
        </is>
      </c>
      <c r="Y518" t="n">
        <v>52</v>
      </c>
      <c r="Z518" t="n">
        <v>26</v>
      </c>
      <c r="AA518" t="n">
        <v>210</v>
      </c>
      <c r="AB518" t="n">
        <v>1</v>
      </c>
      <c r="AC518" t="n">
        <v>2</v>
      </c>
      <c r="AD518" t="n">
        <v>1</v>
      </c>
      <c r="AE518" t="n">
        <v>15</v>
      </c>
      <c r="AF518" t="n">
        <v>0</v>
      </c>
      <c r="AG518" t="n">
        <v>3</v>
      </c>
      <c r="AH518" t="n">
        <v>0</v>
      </c>
      <c r="AI518" t="n">
        <v>6</v>
      </c>
      <c r="AJ518" t="n">
        <v>1</v>
      </c>
      <c r="AK518" t="n">
        <v>10</v>
      </c>
      <c r="AL518" t="n">
        <v>0</v>
      </c>
      <c r="AM518" t="n">
        <v>1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S518">
        <f>HYPERLINK("https://creighton-primo.hosted.exlibrisgroup.com/primo-explore/search?tab=default_tab&amp;search_scope=EVERYTHING&amp;vid=01CRU&amp;lang=en_US&amp;offset=0&amp;query=any,contains,991004906789702656","Catalog Record")</f>
        <v/>
      </c>
      <c r="AT518">
        <f>HYPERLINK("http://www.worldcat.org/oclc/5954384","WorldCat Record")</f>
        <v/>
      </c>
      <c r="AU518" t="inlineStr">
        <is>
          <t>292574791:fre</t>
        </is>
      </c>
      <c r="AV518" t="inlineStr">
        <is>
          <t>5954384</t>
        </is>
      </c>
      <c r="AW518" t="inlineStr">
        <is>
          <t>991004906789702656</t>
        </is>
      </c>
      <c r="AX518" t="inlineStr">
        <is>
          <t>991004906789702656</t>
        </is>
      </c>
      <c r="AY518" t="inlineStr">
        <is>
          <t>2270792970002656</t>
        </is>
      </c>
      <c r="AZ518" t="inlineStr">
        <is>
          <t>BOOK</t>
        </is>
      </c>
      <c r="BC518" t="inlineStr">
        <is>
          <t>32285002248085</t>
        </is>
      </c>
      <c r="BD518" t="inlineStr">
        <is>
          <t>893532909</t>
        </is>
      </c>
    </row>
    <row r="519">
      <c r="A519" t="inlineStr">
        <is>
          <t>No</t>
        </is>
      </c>
      <c r="B519" t="inlineStr">
        <is>
          <t>BF41 .G65 1989</t>
        </is>
      </c>
      <c r="C519" t="inlineStr">
        <is>
          <t>0                      BF 0041000G  65          1989</t>
        </is>
      </c>
      <c r="D519" t="inlineStr">
        <is>
          <t>Nietzsche's enticing psychology of power / by Jacob Golomb.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Golomb, Jacob.</t>
        </is>
      </c>
      <c r="L519" t="inlineStr">
        <is>
          <t>Ames, Iowa : Iowa State University Press, 1989.</t>
        </is>
      </c>
      <c r="M519" t="inlineStr">
        <is>
          <t>1989</t>
        </is>
      </c>
      <c r="N519" t="inlineStr">
        <is>
          <t>1st rev. English ed.</t>
        </is>
      </c>
      <c r="O519" t="inlineStr">
        <is>
          <t>eng</t>
        </is>
      </c>
      <c r="P519" t="inlineStr">
        <is>
          <t>iau</t>
        </is>
      </c>
      <c r="R519" t="inlineStr">
        <is>
          <t xml:space="preserve">BF </t>
        </is>
      </c>
      <c r="S519" t="n">
        <v>1</v>
      </c>
      <c r="T519" t="n">
        <v>1</v>
      </c>
      <c r="U519" t="inlineStr">
        <is>
          <t>2000-10-09</t>
        </is>
      </c>
      <c r="V519" t="inlineStr">
        <is>
          <t>2000-10-09</t>
        </is>
      </c>
      <c r="W519" t="inlineStr">
        <is>
          <t>1990-03-23</t>
        </is>
      </c>
      <c r="X519" t="inlineStr">
        <is>
          <t>1990-03-23</t>
        </is>
      </c>
      <c r="Y519" t="n">
        <v>263</v>
      </c>
      <c r="Z519" t="n">
        <v>217</v>
      </c>
      <c r="AA519" t="n">
        <v>224</v>
      </c>
      <c r="AB519" t="n">
        <v>3</v>
      </c>
      <c r="AC519" t="n">
        <v>3</v>
      </c>
      <c r="AD519" t="n">
        <v>13</v>
      </c>
      <c r="AE519" t="n">
        <v>13</v>
      </c>
      <c r="AF519" t="n">
        <v>4</v>
      </c>
      <c r="AG519" t="n">
        <v>4</v>
      </c>
      <c r="AH519" t="n">
        <v>2</v>
      </c>
      <c r="AI519" t="n">
        <v>2</v>
      </c>
      <c r="AJ519" t="n">
        <v>8</v>
      </c>
      <c r="AK519" t="n">
        <v>8</v>
      </c>
      <c r="AL519" t="n">
        <v>2</v>
      </c>
      <c r="AM519" t="n">
        <v>2</v>
      </c>
      <c r="AN519" t="n">
        <v>0</v>
      </c>
      <c r="AO519" t="n">
        <v>0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HYPERLINK("https://creighton-primo.hosted.exlibrisgroup.com/primo-explore/search?tab=default_tab&amp;search_scope=EVERYTHING&amp;vid=01CRU&amp;lang=en_US&amp;offset=0&amp;query=any,contains,991001203559702656","Catalog Record")</f>
        <v/>
      </c>
      <c r="AT519">
        <f>HYPERLINK("http://www.worldcat.org/oclc/17327920","WorldCat Record")</f>
        <v/>
      </c>
      <c r="AU519" t="inlineStr">
        <is>
          <t>15875961:eng</t>
        </is>
      </c>
      <c r="AV519" t="inlineStr">
        <is>
          <t>17327920</t>
        </is>
      </c>
      <c r="AW519" t="inlineStr">
        <is>
          <t>991001203559702656</t>
        </is>
      </c>
      <c r="AX519" t="inlineStr">
        <is>
          <t>991001203559702656</t>
        </is>
      </c>
      <c r="AY519" t="inlineStr">
        <is>
          <t>2263994780002656</t>
        </is>
      </c>
      <c r="AZ519" t="inlineStr">
        <is>
          <t>BOOK</t>
        </is>
      </c>
      <c r="BB519" t="inlineStr">
        <is>
          <t>9780813811222</t>
        </is>
      </c>
      <c r="BC519" t="inlineStr">
        <is>
          <t>32285000082122</t>
        </is>
      </c>
      <c r="BD519" t="inlineStr">
        <is>
          <t>893608654</t>
        </is>
      </c>
    </row>
    <row r="520">
      <c r="A520" t="inlineStr">
        <is>
          <t>No</t>
        </is>
      </c>
      <c r="B520" t="inlineStr">
        <is>
          <t>BF411 .B35</t>
        </is>
      </c>
      <c r="C520" t="inlineStr">
        <is>
          <t>0                      BF 0411000B  35</t>
        </is>
      </c>
      <c r="D520" t="inlineStr">
        <is>
          <t>Creativity and psychological health : origins of personal vitality and creative freedom.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Barron, Frank, 1922-2002.</t>
        </is>
      </c>
      <c r="L520" t="inlineStr">
        <is>
          <t>Princeton, N.J. : Van Nostrand, [1963]</t>
        </is>
      </c>
      <c r="M520" t="inlineStr">
        <is>
          <t>1963</t>
        </is>
      </c>
      <c r="O520" t="inlineStr">
        <is>
          <t>eng</t>
        </is>
      </c>
      <c r="P520" t="inlineStr">
        <is>
          <t>nju</t>
        </is>
      </c>
      <c r="R520" t="inlineStr">
        <is>
          <t xml:space="preserve">BF </t>
        </is>
      </c>
      <c r="S520" t="n">
        <v>3</v>
      </c>
      <c r="T520" t="n">
        <v>3</v>
      </c>
      <c r="U520" t="inlineStr">
        <is>
          <t>1999-02-25</t>
        </is>
      </c>
      <c r="V520" t="inlineStr">
        <is>
          <t>1999-02-25</t>
        </is>
      </c>
      <c r="W520" t="inlineStr">
        <is>
          <t>1991-09-10</t>
        </is>
      </c>
      <c r="X520" t="inlineStr">
        <is>
          <t>1991-09-10</t>
        </is>
      </c>
      <c r="Y520" t="n">
        <v>560</v>
      </c>
      <c r="Z520" t="n">
        <v>469</v>
      </c>
      <c r="AA520" t="n">
        <v>482</v>
      </c>
      <c r="AB520" t="n">
        <v>5</v>
      </c>
      <c r="AC520" t="n">
        <v>5</v>
      </c>
      <c r="AD520" t="n">
        <v>20</v>
      </c>
      <c r="AE520" t="n">
        <v>20</v>
      </c>
      <c r="AF520" t="n">
        <v>5</v>
      </c>
      <c r="AG520" t="n">
        <v>5</v>
      </c>
      <c r="AH520" t="n">
        <v>4</v>
      </c>
      <c r="AI520" t="n">
        <v>4</v>
      </c>
      <c r="AJ520" t="n">
        <v>11</v>
      </c>
      <c r="AK520" t="n">
        <v>11</v>
      </c>
      <c r="AL520" t="n">
        <v>4</v>
      </c>
      <c r="AM520" t="n">
        <v>4</v>
      </c>
      <c r="AN520" t="n">
        <v>0</v>
      </c>
      <c r="AO520" t="n">
        <v>0</v>
      </c>
      <c r="AP520" t="inlineStr">
        <is>
          <t>No</t>
        </is>
      </c>
      <c r="AQ520" t="inlineStr">
        <is>
          <t>No</t>
        </is>
      </c>
      <c r="AR520">
        <f>HYPERLINK("http://catalog.hathitrust.org/Record/000357538","HathiTrust Record")</f>
        <v/>
      </c>
      <c r="AS520">
        <f>HYPERLINK("https://creighton-primo.hosted.exlibrisgroup.com/primo-explore/search?tab=default_tab&amp;search_scope=EVERYTHING&amp;vid=01CRU&amp;lang=en_US&amp;offset=0&amp;query=any,contains,991001289019702656","Catalog Record")</f>
        <v/>
      </c>
      <c r="AT520">
        <f>HYPERLINK("http://www.worldcat.org/oclc/14612740","WorldCat Record")</f>
        <v/>
      </c>
      <c r="AU520" t="inlineStr">
        <is>
          <t>197911516:eng</t>
        </is>
      </c>
      <c r="AV520" t="inlineStr">
        <is>
          <t>14612740</t>
        </is>
      </c>
      <c r="AW520" t="inlineStr">
        <is>
          <t>991001289019702656</t>
        </is>
      </c>
      <c r="AX520" t="inlineStr">
        <is>
          <t>991001289019702656</t>
        </is>
      </c>
      <c r="AY520" t="inlineStr">
        <is>
          <t>2258892660002656</t>
        </is>
      </c>
      <c r="AZ520" t="inlineStr">
        <is>
          <t>BOOK</t>
        </is>
      </c>
      <c r="BC520" t="inlineStr">
        <is>
          <t>32285000736073</t>
        </is>
      </c>
      <c r="BD520" t="inlineStr">
        <is>
          <t>893809025</t>
        </is>
      </c>
    </row>
    <row r="521">
      <c r="A521" t="inlineStr">
        <is>
          <t>No</t>
        </is>
      </c>
      <c r="B521" t="inlineStr">
        <is>
          <t>BF411 .F7</t>
        </is>
      </c>
      <c r="C521" t="inlineStr">
        <is>
          <t>0                      BF 0411000F  7</t>
        </is>
      </c>
      <c r="D521" t="inlineStr">
        <is>
          <t>Artistic productivity and mental health, prepared under the auspices of the Postgraduate Center for Mental Health by Edrita Fried [and others] With a foreword by Chaim Gross.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K521" t="inlineStr">
        <is>
          <t>Fried, Edrita.</t>
        </is>
      </c>
      <c r="L521" t="inlineStr">
        <is>
          <t>Springfield, Ill, C. C. Thomas [1964]</t>
        </is>
      </c>
      <c r="M521" t="inlineStr">
        <is>
          <t>1964</t>
        </is>
      </c>
      <c r="O521" t="inlineStr">
        <is>
          <t>eng</t>
        </is>
      </c>
      <c r="P521" t="inlineStr">
        <is>
          <t xml:space="preserve">xx </t>
        </is>
      </c>
      <c r="Q521" t="inlineStr">
        <is>
          <t>American lectures series, publication no. 592. A monograph in American lectures in psychology</t>
        </is>
      </c>
      <c r="R521" t="inlineStr">
        <is>
          <t xml:space="preserve">BF </t>
        </is>
      </c>
      <c r="S521" t="n">
        <v>2</v>
      </c>
      <c r="T521" t="n">
        <v>2</v>
      </c>
      <c r="U521" t="inlineStr">
        <is>
          <t>1999-11-30</t>
        </is>
      </c>
      <c r="V521" t="inlineStr">
        <is>
          <t>1999-11-30</t>
        </is>
      </c>
      <c r="W521" t="inlineStr">
        <is>
          <t>1996-07-29</t>
        </is>
      </c>
      <c r="X521" t="inlineStr">
        <is>
          <t>1996-07-29</t>
        </is>
      </c>
      <c r="Y521" t="n">
        <v>366</v>
      </c>
      <c r="Z521" t="n">
        <v>339</v>
      </c>
      <c r="AA521" t="n">
        <v>358</v>
      </c>
      <c r="AB521" t="n">
        <v>2</v>
      </c>
      <c r="AC521" t="n">
        <v>2</v>
      </c>
      <c r="AD521" t="n">
        <v>14</v>
      </c>
      <c r="AE521" t="n">
        <v>14</v>
      </c>
      <c r="AF521" t="n">
        <v>9</v>
      </c>
      <c r="AG521" t="n">
        <v>9</v>
      </c>
      <c r="AH521" t="n">
        <v>3</v>
      </c>
      <c r="AI521" t="n">
        <v>3</v>
      </c>
      <c r="AJ521" t="n">
        <v>5</v>
      </c>
      <c r="AK521" t="n">
        <v>5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No</t>
        </is>
      </c>
      <c r="AS521">
        <f>HYPERLINK("https://creighton-primo.hosted.exlibrisgroup.com/primo-explore/search?tab=default_tab&amp;search_scope=EVERYTHING&amp;vid=01CRU&amp;lang=en_US&amp;offset=0&amp;query=any,contains,991003007319702656","Catalog Record")</f>
        <v/>
      </c>
      <c r="AT521">
        <f>HYPERLINK("http://www.worldcat.org/oclc/574166","WorldCat Record")</f>
        <v/>
      </c>
      <c r="AU521" t="inlineStr">
        <is>
          <t>257212770:eng</t>
        </is>
      </c>
      <c r="AV521" t="inlineStr">
        <is>
          <t>574166</t>
        </is>
      </c>
      <c r="AW521" t="inlineStr">
        <is>
          <t>991003007319702656</t>
        </is>
      </c>
      <c r="AX521" t="inlineStr">
        <is>
          <t>991003007319702656</t>
        </is>
      </c>
      <c r="AY521" t="inlineStr">
        <is>
          <t>2271689410002656</t>
        </is>
      </c>
      <c r="AZ521" t="inlineStr">
        <is>
          <t>BOOK</t>
        </is>
      </c>
      <c r="BC521" t="inlineStr">
        <is>
          <t>32285002248143</t>
        </is>
      </c>
      <c r="BD521" t="inlineStr">
        <is>
          <t>893698571</t>
        </is>
      </c>
    </row>
    <row r="522">
      <c r="A522" t="inlineStr">
        <is>
          <t>No</t>
        </is>
      </c>
      <c r="B522" t="inlineStr">
        <is>
          <t>BF412 .G4</t>
        </is>
      </c>
      <c r="C522" t="inlineStr">
        <is>
          <t>0                      BF 0412000G  4</t>
        </is>
      </c>
      <c r="D522" t="inlineStr">
        <is>
          <t>Genetic studies of genius / edited by Lewis M. Terman.</t>
        </is>
      </c>
      <c r="E522" t="inlineStr">
        <is>
          <t>V.2</t>
        </is>
      </c>
      <c r="F522" t="inlineStr">
        <is>
          <t>Yes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L522" t="inlineStr">
        <is>
          <t>Stanford, Calif. : Stanford University Press, 1926-1959.</t>
        </is>
      </c>
      <c r="M522" t="inlineStr">
        <is>
          <t>1926</t>
        </is>
      </c>
      <c r="O522" t="inlineStr">
        <is>
          <t>eng</t>
        </is>
      </c>
      <c r="P522" t="inlineStr">
        <is>
          <t>cau</t>
        </is>
      </c>
      <c r="R522" t="inlineStr">
        <is>
          <t xml:space="preserve">BF </t>
        </is>
      </c>
      <c r="S522" t="n">
        <v>0</v>
      </c>
      <c r="T522" t="n">
        <v>0</v>
      </c>
      <c r="U522" t="inlineStr">
        <is>
          <t>2005-11-16</t>
        </is>
      </c>
      <c r="V522" t="inlineStr">
        <is>
          <t>2005-11-16</t>
        </is>
      </c>
      <c r="W522" t="inlineStr">
        <is>
          <t>1996-07-25</t>
        </is>
      </c>
      <c r="X522" t="inlineStr">
        <is>
          <t>1996-07-25</t>
        </is>
      </c>
      <c r="Y522" t="n">
        <v>20</v>
      </c>
      <c r="Z522" t="n">
        <v>14</v>
      </c>
      <c r="AA522" t="n">
        <v>810</v>
      </c>
      <c r="AB522" t="n">
        <v>1</v>
      </c>
      <c r="AC522" t="n">
        <v>7</v>
      </c>
      <c r="AD522" t="n">
        <v>0</v>
      </c>
      <c r="AE522" t="n">
        <v>34</v>
      </c>
      <c r="AF522" t="n">
        <v>0</v>
      </c>
      <c r="AG522" t="n">
        <v>12</v>
      </c>
      <c r="AH522" t="n">
        <v>0</v>
      </c>
      <c r="AI522" t="n">
        <v>9</v>
      </c>
      <c r="AJ522" t="n">
        <v>0</v>
      </c>
      <c r="AK522" t="n">
        <v>15</v>
      </c>
      <c r="AL522" t="n">
        <v>0</v>
      </c>
      <c r="AM522" t="n">
        <v>6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2">
        <f>HYPERLINK("http://www.worldcat.org/oclc/11364194","WorldCat Record")</f>
        <v/>
      </c>
      <c r="AU522" t="inlineStr">
        <is>
          <t>4159885617:eng</t>
        </is>
      </c>
      <c r="AV522" t="inlineStr">
        <is>
          <t>11364194</t>
        </is>
      </c>
      <c r="AW522" t="inlineStr">
        <is>
          <t>991000524399702656</t>
        </is>
      </c>
      <c r="AX522" t="inlineStr">
        <is>
          <t>991000524399702656</t>
        </is>
      </c>
      <c r="AY522" t="inlineStr">
        <is>
          <t>2254736540002656</t>
        </is>
      </c>
      <c r="AZ522" t="inlineStr">
        <is>
          <t>BOOK</t>
        </is>
      </c>
      <c r="BC522" t="inlineStr">
        <is>
          <t>32285002236973</t>
        </is>
      </c>
      <c r="BD522" t="inlineStr">
        <is>
          <t>893714662</t>
        </is>
      </c>
    </row>
    <row r="523">
      <c r="A523" t="inlineStr">
        <is>
          <t>No</t>
        </is>
      </c>
      <c r="B523" t="inlineStr">
        <is>
          <t>BF412 .G4</t>
        </is>
      </c>
      <c r="C523" t="inlineStr">
        <is>
          <t>0                      BF 0412000G  4</t>
        </is>
      </c>
      <c r="D523" t="inlineStr">
        <is>
          <t>Genetic studies of genius / edited by Lewis M. Terman.</t>
        </is>
      </c>
      <c r="E523" t="inlineStr">
        <is>
          <t>V.4</t>
        </is>
      </c>
      <c r="F523" t="inlineStr">
        <is>
          <t>Yes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L523" t="inlineStr">
        <is>
          <t>Stanford, Calif. : Stanford University Press, 1926-1959.</t>
        </is>
      </c>
      <c r="M523" t="inlineStr">
        <is>
          <t>1926</t>
        </is>
      </c>
      <c r="O523" t="inlineStr">
        <is>
          <t>eng</t>
        </is>
      </c>
      <c r="P523" t="inlineStr">
        <is>
          <t>cau</t>
        </is>
      </c>
      <c r="R523" t="inlineStr">
        <is>
          <t xml:space="preserve">BF </t>
        </is>
      </c>
      <c r="S523" t="n">
        <v>0</v>
      </c>
      <c r="T523" t="n">
        <v>0</v>
      </c>
      <c r="U523" t="inlineStr">
        <is>
          <t>2005-11-16</t>
        </is>
      </c>
      <c r="V523" t="inlineStr">
        <is>
          <t>2005-11-16</t>
        </is>
      </c>
      <c r="W523" t="inlineStr">
        <is>
          <t>1996-07-25</t>
        </is>
      </c>
      <c r="X523" t="inlineStr">
        <is>
          <t>1996-07-25</t>
        </is>
      </c>
      <c r="Y523" t="n">
        <v>20</v>
      </c>
      <c r="Z523" t="n">
        <v>14</v>
      </c>
      <c r="AA523" t="n">
        <v>810</v>
      </c>
      <c r="AB523" t="n">
        <v>1</v>
      </c>
      <c r="AC523" t="n">
        <v>7</v>
      </c>
      <c r="AD523" t="n">
        <v>0</v>
      </c>
      <c r="AE523" t="n">
        <v>34</v>
      </c>
      <c r="AF523" t="n">
        <v>0</v>
      </c>
      <c r="AG523" t="n">
        <v>12</v>
      </c>
      <c r="AH523" t="n">
        <v>0</v>
      </c>
      <c r="AI523" t="n">
        <v>9</v>
      </c>
      <c r="AJ523" t="n">
        <v>0</v>
      </c>
      <c r="AK523" t="n">
        <v>15</v>
      </c>
      <c r="AL523" t="n">
        <v>0</v>
      </c>
      <c r="AM523" t="n">
        <v>6</v>
      </c>
      <c r="AN523" t="n">
        <v>0</v>
      </c>
      <c r="AO523" t="n">
        <v>0</v>
      </c>
      <c r="AP523" t="inlineStr">
        <is>
          <t>No</t>
        </is>
      </c>
      <c r="AQ523" t="inlineStr">
        <is>
          <t>No</t>
        </is>
      </c>
      <c r="AS523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3">
        <f>HYPERLINK("http://www.worldcat.org/oclc/11364194","WorldCat Record")</f>
        <v/>
      </c>
      <c r="AU523" t="inlineStr">
        <is>
          <t>4159885617:eng</t>
        </is>
      </c>
      <c r="AV523" t="inlineStr">
        <is>
          <t>11364194</t>
        </is>
      </c>
      <c r="AW523" t="inlineStr">
        <is>
          <t>991000524399702656</t>
        </is>
      </c>
      <c r="AX523" t="inlineStr">
        <is>
          <t>991000524399702656</t>
        </is>
      </c>
      <c r="AY523" t="inlineStr">
        <is>
          <t>2254736540002656</t>
        </is>
      </c>
      <c r="AZ523" t="inlineStr">
        <is>
          <t>BOOK</t>
        </is>
      </c>
      <c r="BC523" t="inlineStr">
        <is>
          <t>32285002236999</t>
        </is>
      </c>
      <c r="BD523" t="inlineStr">
        <is>
          <t>893695906</t>
        </is>
      </c>
    </row>
    <row r="524">
      <c r="A524" t="inlineStr">
        <is>
          <t>No</t>
        </is>
      </c>
      <c r="B524" t="inlineStr">
        <is>
          <t>BF412 .G4</t>
        </is>
      </c>
      <c r="C524" t="inlineStr">
        <is>
          <t>0                      BF 0412000G  4</t>
        </is>
      </c>
      <c r="D524" t="inlineStr">
        <is>
          <t>Genetic studies of genius / edited by Lewis M. Terman.</t>
        </is>
      </c>
      <c r="E524" t="inlineStr">
        <is>
          <t>V.1</t>
        </is>
      </c>
      <c r="F524" t="inlineStr">
        <is>
          <t>Yes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L524" t="inlineStr">
        <is>
          <t>Stanford, Calif. : Stanford University Press, 1926-1959.</t>
        </is>
      </c>
      <c r="M524" t="inlineStr">
        <is>
          <t>1926</t>
        </is>
      </c>
      <c r="O524" t="inlineStr">
        <is>
          <t>eng</t>
        </is>
      </c>
      <c r="P524" t="inlineStr">
        <is>
          <t>cau</t>
        </is>
      </c>
      <c r="R524" t="inlineStr">
        <is>
          <t xml:space="preserve">BF </t>
        </is>
      </c>
      <c r="S524" t="n">
        <v>0</v>
      </c>
      <c r="T524" t="n">
        <v>0</v>
      </c>
      <c r="U524" t="inlineStr">
        <is>
          <t>2005-11-16</t>
        </is>
      </c>
      <c r="V524" t="inlineStr">
        <is>
          <t>2005-11-16</t>
        </is>
      </c>
      <c r="W524" t="inlineStr">
        <is>
          <t>1996-07-25</t>
        </is>
      </c>
      <c r="X524" t="inlineStr">
        <is>
          <t>1996-07-25</t>
        </is>
      </c>
      <c r="Y524" t="n">
        <v>20</v>
      </c>
      <c r="Z524" t="n">
        <v>14</v>
      </c>
      <c r="AA524" t="n">
        <v>810</v>
      </c>
      <c r="AB524" t="n">
        <v>1</v>
      </c>
      <c r="AC524" t="n">
        <v>7</v>
      </c>
      <c r="AD524" t="n">
        <v>0</v>
      </c>
      <c r="AE524" t="n">
        <v>34</v>
      </c>
      <c r="AF524" t="n">
        <v>0</v>
      </c>
      <c r="AG524" t="n">
        <v>12</v>
      </c>
      <c r="AH524" t="n">
        <v>0</v>
      </c>
      <c r="AI524" t="n">
        <v>9</v>
      </c>
      <c r="AJ524" t="n">
        <v>0</v>
      </c>
      <c r="AK524" t="n">
        <v>15</v>
      </c>
      <c r="AL524" t="n">
        <v>0</v>
      </c>
      <c r="AM524" t="n">
        <v>6</v>
      </c>
      <c r="AN524" t="n">
        <v>0</v>
      </c>
      <c r="AO524" t="n">
        <v>0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4">
        <f>HYPERLINK("http://www.worldcat.org/oclc/11364194","WorldCat Record")</f>
        <v/>
      </c>
      <c r="AU524" t="inlineStr">
        <is>
          <t>4159885617:eng</t>
        </is>
      </c>
      <c r="AV524" t="inlineStr">
        <is>
          <t>11364194</t>
        </is>
      </c>
      <c r="AW524" t="inlineStr">
        <is>
          <t>991000524399702656</t>
        </is>
      </c>
      <c r="AX524" t="inlineStr">
        <is>
          <t>991000524399702656</t>
        </is>
      </c>
      <c r="AY524" t="inlineStr">
        <is>
          <t>2254736540002656</t>
        </is>
      </c>
      <c r="AZ524" t="inlineStr">
        <is>
          <t>BOOK</t>
        </is>
      </c>
      <c r="BC524" t="inlineStr">
        <is>
          <t>32285002236965</t>
        </is>
      </c>
      <c r="BD524" t="inlineStr">
        <is>
          <t>893702203</t>
        </is>
      </c>
    </row>
    <row r="525">
      <c r="A525" t="inlineStr">
        <is>
          <t>No</t>
        </is>
      </c>
      <c r="B525" t="inlineStr">
        <is>
          <t>BF412 .G4</t>
        </is>
      </c>
      <c r="C525" t="inlineStr">
        <is>
          <t>0                      BF 0412000G  4</t>
        </is>
      </c>
      <c r="D525" t="inlineStr">
        <is>
          <t>Genetic studies of genius / edited by Lewis M. Terman.</t>
        </is>
      </c>
      <c r="E525" t="inlineStr">
        <is>
          <t>V.5</t>
        </is>
      </c>
      <c r="F525" t="inlineStr">
        <is>
          <t>Yes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L525" t="inlineStr">
        <is>
          <t>Stanford, Calif. : Stanford University Press, 1926-1959.</t>
        </is>
      </c>
      <c r="M525" t="inlineStr">
        <is>
          <t>1926</t>
        </is>
      </c>
      <c r="O525" t="inlineStr">
        <is>
          <t>eng</t>
        </is>
      </c>
      <c r="P525" t="inlineStr">
        <is>
          <t>cau</t>
        </is>
      </c>
      <c r="R525" t="inlineStr">
        <is>
          <t xml:space="preserve">BF </t>
        </is>
      </c>
      <c r="S525" t="n">
        <v>0</v>
      </c>
      <c r="T525" t="n">
        <v>0</v>
      </c>
      <c r="U525" t="inlineStr">
        <is>
          <t>2005-11-16</t>
        </is>
      </c>
      <c r="V525" t="inlineStr">
        <is>
          <t>2005-11-16</t>
        </is>
      </c>
      <c r="W525" t="inlineStr">
        <is>
          <t>1996-07-25</t>
        </is>
      </c>
      <c r="X525" t="inlineStr">
        <is>
          <t>1996-07-25</t>
        </is>
      </c>
      <c r="Y525" t="n">
        <v>20</v>
      </c>
      <c r="Z525" t="n">
        <v>14</v>
      </c>
      <c r="AA525" t="n">
        <v>810</v>
      </c>
      <c r="AB525" t="n">
        <v>1</v>
      </c>
      <c r="AC525" t="n">
        <v>7</v>
      </c>
      <c r="AD525" t="n">
        <v>0</v>
      </c>
      <c r="AE525" t="n">
        <v>34</v>
      </c>
      <c r="AF525" t="n">
        <v>0</v>
      </c>
      <c r="AG525" t="n">
        <v>12</v>
      </c>
      <c r="AH525" t="n">
        <v>0</v>
      </c>
      <c r="AI525" t="n">
        <v>9</v>
      </c>
      <c r="AJ525" t="n">
        <v>0</v>
      </c>
      <c r="AK525" t="n">
        <v>15</v>
      </c>
      <c r="AL525" t="n">
        <v>0</v>
      </c>
      <c r="AM525" t="n">
        <v>6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5">
        <f>HYPERLINK("http://www.worldcat.org/oclc/11364194","WorldCat Record")</f>
        <v/>
      </c>
      <c r="AU525" t="inlineStr">
        <is>
          <t>4159885617:eng</t>
        </is>
      </c>
      <c r="AV525" t="inlineStr">
        <is>
          <t>11364194</t>
        </is>
      </c>
      <c r="AW525" t="inlineStr">
        <is>
          <t>991000524399702656</t>
        </is>
      </c>
      <c r="AX525" t="inlineStr">
        <is>
          <t>991000524399702656</t>
        </is>
      </c>
      <c r="AY525" t="inlineStr">
        <is>
          <t>2254736540002656</t>
        </is>
      </c>
      <c r="AZ525" t="inlineStr">
        <is>
          <t>BOOK</t>
        </is>
      </c>
      <c r="BC525" t="inlineStr">
        <is>
          <t>32285002237005</t>
        </is>
      </c>
      <c r="BD525" t="inlineStr">
        <is>
          <t>893702202</t>
        </is>
      </c>
    </row>
    <row r="526">
      <c r="A526" t="inlineStr">
        <is>
          <t>No</t>
        </is>
      </c>
      <c r="B526" t="inlineStr">
        <is>
          <t>BF412 .G4</t>
        </is>
      </c>
      <c r="C526" t="inlineStr">
        <is>
          <t>0                      BF 0412000G  4</t>
        </is>
      </c>
      <c r="D526" t="inlineStr">
        <is>
          <t>Genetic studies of genius / edited by Lewis M. Terman.</t>
        </is>
      </c>
      <c r="E526" t="inlineStr">
        <is>
          <t>V.3</t>
        </is>
      </c>
      <c r="F526" t="inlineStr">
        <is>
          <t>Yes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L526" t="inlineStr">
        <is>
          <t>Stanford, Calif. : Stanford University Press, 1926-1959.</t>
        </is>
      </c>
      <c r="M526" t="inlineStr">
        <is>
          <t>1926</t>
        </is>
      </c>
      <c r="O526" t="inlineStr">
        <is>
          <t>eng</t>
        </is>
      </c>
      <c r="P526" t="inlineStr">
        <is>
          <t>cau</t>
        </is>
      </c>
      <c r="R526" t="inlineStr">
        <is>
          <t xml:space="preserve">BF </t>
        </is>
      </c>
      <c r="S526" t="n">
        <v>0</v>
      </c>
      <c r="T526" t="n">
        <v>0</v>
      </c>
      <c r="U526" t="inlineStr">
        <is>
          <t>2005-11-16</t>
        </is>
      </c>
      <c r="V526" t="inlineStr">
        <is>
          <t>2005-11-16</t>
        </is>
      </c>
      <c r="W526" t="inlineStr">
        <is>
          <t>1996-07-25</t>
        </is>
      </c>
      <c r="X526" t="inlineStr">
        <is>
          <t>1996-07-25</t>
        </is>
      </c>
      <c r="Y526" t="n">
        <v>20</v>
      </c>
      <c r="Z526" t="n">
        <v>14</v>
      </c>
      <c r="AA526" t="n">
        <v>810</v>
      </c>
      <c r="AB526" t="n">
        <v>1</v>
      </c>
      <c r="AC526" t="n">
        <v>7</v>
      </c>
      <c r="AD526" t="n">
        <v>0</v>
      </c>
      <c r="AE526" t="n">
        <v>34</v>
      </c>
      <c r="AF526" t="n">
        <v>0</v>
      </c>
      <c r="AG526" t="n">
        <v>12</v>
      </c>
      <c r="AH526" t="n">
        <v>0</v>
      </c>
      <c r="AI526" t="n">
        <v>9</v>
      </c>
      <c r="AJ526" t="n">
        <v>0</v>
      </c>
      <c r="AK526" t="n">
        <v>15</v>
      </c>
      <c r="AL526" t="n">
        <v>0</v>
      </c>
      <c r="AM526" t="n">
        <v>6</v>
      </c>
      <c r="AN526" t="n">
        <v>0</v>
      </c>
      <c r="AO526" t="n">
        <v>0</v>
      </c>
      <c r="AP526" t="inlineStr">
        <is>
          <t>No</t>
        </is>
      </c>
      <c r="AQ526" t="inlineStr">
        <is>
          <t>No</t>
        </is>
      </c>
      <c r="AS526">
        <f>HYPERLINK("https://creighton-primo.hosted.exlibrisgroup.com/primo-explore/search?tab=default_tab&amp;search_scope=EVERYTHING&amp;vid=01CRU&amp;lang=en_US&amp;offset=0&amp;query=any,contains,991000524399702656","Catalog Record")</f>
        <v/>
      </c>
      <c r="AT526">
        <f>HYPERLINK("http://www.worldcat.org/oclc/11364194","WorldCat Record")</f>
        <v/>
      </c>
      <c r="AU526" t="inlineStr">
        <is>
          <t>4159885617:eng</t>
        </is>
      </c>
      <c r="AV526" t="inlineStr">
        <is>
          <t>11364194</t>
        </is>
      </c>
      <c r="AW526" t="inlineStr">
        <is>
          <t>991000524399702656</t>
        </is>
      </c>
      <c r="AX526" t="inlineStr">
        <is>
          <t>991000524399702656</t>
        </is>
      </c>
      <c r="AY526" t="inlineStr">
        <is>
          <t>2254736540002656</t>
        </is>
      </c>
      <c r="AZ526" t="inlineStr">
        <is>
          <t>BOOK</t>
        </is>
      </c>
      <c r="BC526" t="inlineStr">
        <is>
          <t>32285002236981</t>
        </is>
      </c>
      <c r="BD526" t="inlineStr">
        <is>
          <t>893683503</t>
        </is>
      </c>
    </row>
    <row r="527">
      <c r="A527" t="inlineStr">
        <is>
          <t>No</t>
        </is>
      </c>
      <c r="B527" t="inlineStr">
        <is>
          <t>BF412 .G56 1985</t>
        </is>
      </c>
      <c r="C527" t="inlineStr">
        <is>
          <t>0                      BF 0412000G  56          1985</t>
        </is>
      </c>
      <c r="D527" t="inlineStr">
        <is>
          <t>The Gifted and talented : developmental perspectives / edited by Frances Degen Horowitz [and] Marion O'Brien.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L527" t="inlineStr">
        <is>
          <t>Washington, D.C. : American Psychological Association, c1985.</t>
        </is>
      </c>
      <c r="M527" t="inlineStr">
        <is>
          <t>1985</t>
        </is>
      </c>
      <c r="O527" t="inlineStr">
        <is>
          <t>eng</t>
        </is>
      </c>
      <c r="P527" t="inlineStr">
        <is>
          <t>dcu</t>
        </is>
      </c>
      <c r="R527" t="inlineStr">
        <is>
          <t xml:space="preserve">BF </t>
        </is>
      </c>
      <c r="S527" t="n">
        <v>7</v>
      </c>
      <c r="T527" t="n">
        <v>7</v>
      </c>
      <c r="U527" t="inlineStr">
        <is>
          <t>1996-11-11</t>
        </is>
      </c>
      <c r="V527" t="inlineStr">
        <is>
          <t>1996-11-11</t>
        </is>
      </c>
      <c r="W527" t="inlineStr">
        <is>
          <t>1990-05-01</t>
        </is>
      </c>
      <c r="X527" t="inlineStr">
        <is>
          <t>1990-05-01</t>
        </is>
      </c>
      <c r="Y527" t="n">
        <v>682</v>
      </c>
      <c r="Z527" t="n">
        <v>565</v>
      </c>
      <c r="AA527" t="n">
        <v>622</v>
      </c>
      <c r="AB527" t="n">
        <v>5</v>
      </c>
      <c r="AC527" t="n">
        <v>6</v>
      </c>
      <c r="AD527" t="n">
        <v>26</v>
      </c>
      <c r="AE527" t="n">
        <v>28</v>
      </c>
      <c r="AF527" t="n">
        <v>8</v>
      </c>
      <c r="AG527" t="n">
        <v>8</v>
      </c>
      <c r="AH527" t="n">
        <v>6</v>
      </c>
      <c r="AI527" t="n">
        <v>6</v>
      </c>
      <c r="AJ527" t="n">
        <v>13</v>
      </c>
      <c r="AK527" t="n">
        <v>14</v>
      </c>
      <c r="AL527" t="n">
        <v>4</v>
      </c>
      <c r="AM527" t="n">
        <v>5</v>
      </c>
      <c r="AN527" t="n">
        <v>0</v>
      </c>
      <c r="AO527" t="n">
        <v>0</v>
      </c>
      <c r="AP527" t="inlineStr">
        <is>
          <t>No</t>
        </is>
      </c>
      <c r="AQ527" t="inlineStr">
        <is>
          <t>Yes</t>
        </is>
      </c>
      <c r="AR527">
        <f>HYPERLINK("http://catalog.hathitrust.org/Record/000819709","HathiTrust Record")</f>
        <v/>
      </c>
      <c r="AS527">
        <f>HYPERLINK("https://creighton-primo.hosted.exlibrisgroup.com/primo-explore/search?tab=default_tab&amp;search_scope=EVERYTHING&amp;vid=01CRU&amp;lang=en_US&amp;offset=0&amp;query=any,contains,991000622769702656","Catalog Record")</f>
        <v/>
      </c>
      <c r="AT527">
        <f>HYPERLINK("http://www.worldcat.org/oclc/11972824","WorldCat Record")</f>
        <v/>
      </c>
      <c r="AU527" t="inlineStr">
        <is>
          <t>1078024840:eng</t>
        </is>
      </c>
      <c r="AV527" t="inlineStr">
        <is>
          <t>11972824</t>
        </is>
      </c>
      <c r="AW527" t="inlineStr">
        <is>
          <t>991000622769702656</t>
        </is>
      </c>
      <c r="AX527" t="inlineStr">
        <is>
          <t>991000622769702656</t>
        </is>
      </c>
      <c r="AY527" t="inlineStr">
        <is>
          <t>2255864690002656</t>
        </is>
      </c>
      <c r="AZ527" t="inlineStr">
        <is>
          <t>BOOK</t>
        </is>
      </c>
      <c r="BB527" t="inlineStr">
        <is>
          <t>9780912704944</t>
        </is>
      </c>
      <c r="BC527" t="inlineStr">
        <is>
          <t>32285000146166</t>
        </is>
      </c>
      <c r="BD527" t="inlineStr">
        <is>
          <t>893225158</t>
        </is>
      </c>
    </row>
    <row r="528">
      <c r="A528" t="inlineStr">
        <is>
          <t>No</t>
        </is>
      </c>
      <c r="B528" t="inlineStr">
        <is>
          <t>BF431 .D85</t>
        </is>
      </c>
      <c r="C528" t="inlineStr">
        <is>
          <t>0                      BF 0431000D  85</t>
        </is>
      </c>
      <c r="D528" t="inlineStr">
        <is>
          <t>A history of psychological testing [by] Philip H. DuBois.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DuBois, Philip H. (Philip Hunter), 1903-1998.</t>
        </is>
      </c>
      <c r="L528" t="inlineStr">
        <is>
          <t>Boston, Allyn and Bacon [1970]</t>
        </is>
      </c>
      <c r="M528" t="inlineStr">
        <is>
          <t>1970</t>
        </is>
      </c>
      <c r="O528" t="inlineStr">
        <is>
          <t>eng</t>
        </is>
      </c>
      <c r="P528" t="inlineStr">
        <is>
          <t>mau</t>
        </is>
      </c>
      <c r="R528" t="inlineStr">
        <is>
          <t xml:space="preserve">BF </t>
        </is>
      </c>
      <c r="S528" t="n">
        <v>3</v>
      </c>
      <c r="T528" t="n">
        <v>3</v>
      </c>
      <c r="U528" t="inlineStr">
        <is>
          <t>1996-11-22</t>
        </is>
      </c>
      <c r="V528" t="inlineStr">
        <is>
          <t>1996-11-22</t>
        </is>
      </c>
      <c r="W528" t="inlineStr">
        <is>
          <t>1996-07-29</t>
        </is>
      </c>
      <c r="X528" t="inlineStr">
        <is>
          <t>1996-07-29</t>
        </is>
      </c>
      <c r="Y528" t="n">
        <v>510</v>
      </c>
      <c r="Z528" t="n">
        <v>432</v>
      </c>
      <c r="AA528" t="n">
        <v>433</v>
      </c>
      <c r="AB528" t="n">
        <v>7</v>
      </c>
      <c r="AC528" t="n">
        <v>7</v>
      </c>
      <c r="AD528" t="n">
        <v>24</v>
      </c>
      <c r="AE528" t="n">
        <v>24</v>
      </c>
      <c r="AF528" t="n">
        <v>9</v>
      </c>
      <c r="AG528" t="n">
        <v>9</v>
      </c>
      <c r="AH528" t="n">
        <v>4</v>
      </c>
      <c r="AI528" t="n">
        <v>4</v>
      </c>
      <c r="AJ528" t="n">
        <v>8</v>
      </c>
      <c r="AK528" t="n">
        <v>8</v>
      </c>
      <c r="AL528" t="n">
        <v>6</v>
      </c>
      <c r="AM528" t="n">
        <v>6</v>
      </c>
      <c r="AN528" t="n">
        <v>0</v>
      </c>
      <c r="AO528" t="n">
        <v>0</v>
      </c>
      <c r="AP528" t="inlineStr">
        <is>
          <t>No</t>
        </is>
      </c>
      <c r="AQ528" t="inlineStr">
        <is>
          <t>Yes</t>
        </is>
      </c>
      <c r="AR528">
        <f>HYPERLINK("http://catalog.hathitrust.org/Record/004444818","HathiTrust Record")</f>
        <v/>
      </c>
      <c r="AS528">
        <f>HYPERLINK("https://creighton-primo.hosted.exlibrisgroup.com/primo-explore/search?tab=default_tab&amp;search_scope=EVERYTHING&amp;vid=01CRU&amp;lang=en_US&amp;offset=0&amp;query=any,contains,991000652089702656","Catalog Record")</f>
        <v/>
      </c>
      <c r="AT528">
        <f>HYPERLINK("http://www.worldcat.org/oclc/114067","WorldCat Record")</f>
        <v/>
      </c>
      <c r="AU528" t="inlineStr">
        <is>
          <t>903517135:eng</t>
        </is>
      </c>
      <c r="AV528" t="inlineStr">
        <is>
          <t>114067</t>
        </is>
      </c>
      <c r="AW528" t="inlineStr">
        <is>
          <t>991000652089702656</t>
        </is>
      </c>
      <c r="AX528" t="inlineStr">
        <is>
          <t>991000652089702656</t>
        </is>
      </c>
      <c r="AY528" t="inlineStr">
        <is>
          <t>2265392930002656</t>
        </is>
      </c>
      <c r="AZ528" t="inlineStr">
        <is>
          <t>BOOK</t>
        </is>
      </c>
      <c r="BC528" t="inlineStr">
        <is>
          <t>32285002248341</t>
        </is>
      </c>
      <c r="BD528" t="inlineStr">
        <is>
          <t>893601939</t>
        </is>
      </c>
    </row>
    <row r="529">
      <c r="A529" t="inlineStr">
        <is>
          <t>No</t>
        </is>
      </c>
      <c r="B529" t="inlineStr">
        <is>
          <t>BF431 .E43</t>
        </is>
      </c>
      <c r="C529" t="inlineStr">
        <is>
          <t>0                      BF 0431000E  43</t>
        </is>
      </c>
      <c r="D529" t="inlineStr">
        <is>
          <t>Intelligence and cultural differences : a study of cultural learning and problem-solving / by Kenneth Eells [and others] ; under the chairmanship of Allison Davis.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Eells, Kenneth, 1913-1973.</t>
        </is>
      </c>
      <c r="L529" t="inlineStr">
        <is>
          <t>[Chicago] : University of Chicago Press, [1951]</t>
        </is>
      </c>
      <c r="M529" t="inlineStr">
        <is>
          <t>1951</t>
        </is>
      </c>
      <c r="O529" t="inlineStr">
        <is>
          <t>eng</t>
        </is>
      </c>
      <c r="P529" t="inlineStr">
        <is>
          <t>ilu</t>
        </is>
      </c>
      <c r="R529" t="inlineStr">
        <is>
          <t xml:space="preserve">BF </t>
        </is>
      </c>
      <c r="S529" t="n">
        <v>4</v>
      </c>
      <c r="T529" t="n">
        <v>4</v>
      </c>
      <c r="U529" t="inlineStr">
        <is>
          <t>2005-02-10</t>
        </is>
      </c>
      <c r="V529" t="inlineStr">
        <is>
          <t>2005-02-10</t>
        </is>
      </c>
      <c r="W529" t="inlineStr">
        <is>
          <t>1994-12-22</t>
        </is>
      </c>
      <c r="X529" t="inlineStr">
        <is>
          <t>1994-12-22</t>
        </is>
      </c>
      <c r="Y529" t="n">
        <v>492</v>
      </c>
      <c r="Z529" t="n">
        <v>414</v>
      </c>
      <c r="AA529" t="n">
        <v>452</v>
      </c>
      <c r="AB529" t="n">
        <v>4</v>
      </c>
      <c r="AC529" t="n">
        <v>4</v>
      </c>
      <c r="AD529" t="n">
        <v>19</v>
      </c>
      <c r="AE529" t="n">
        <v>19</v>
      </c>
      <c r="AF529" t="n">
        <v>7</v>
      </c>
      <c r="AG529" t="n">
        <v>7</v>
      </c>
      <c r="AH529" t="n">
        <v>3</v>
      </c>
      <c r="AI529" t="n">
        <v>3</v>
      </c>
      <c r="AJ529" t="n">
        <v>9</v>
      </c>
      <c r="AK529" t="n">
        <v>9</v>
      </c>
      <c r="AL529" t="n">
        <v>3</v>
      </c>
      <c r="AM529" t="n">
        <v>3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HYPERLINK("http://catalog.hathitrust.org/Record/004444820","HathiTrust Record")</f>
        <v/>
      </c>
      <c r="AS529">
        <f>HYPERLINK("https://creighton-primo.hosted.exlibrisgroup.com/primo-explore/search?tab=default_tab&amp;search_scope=EVERYTHING&amp;vid=01CRU&amp;lang=en_US&amp;offset=0&amp;query=any,contains,991000946799702656","Catalog Record")</f>
        <v/>
      </c>
      <c r="AT529">
        <f>HYPERLINK("http://www.worldcat.org/oclc/167297","WorldCat Record")</f>
        <v/>
      </c>
      <c r="AU529" t="inlineStr">
        <is>
          <t>889566618:eng</t>
        </is>
      </c>
      <c r="AV529" t="inlineStr">
        <is>
          <t>167297</t>
        </is>
      </c>
      <c r="AW529" t="inlineStr">
        <is>
          <t>991000946799702656</t>
        </is>
      </c>
      <c r="AX529" t="inlineStr">
        <is>
          <t>991000946799702656</t>
        </is>
      </c>
      <c r="AY529" t="inlineStr">
        <is>
          <t>2272391340002656</t>
        </is>
      </c>
      <c r="AZ529" t="inlineStr">
        <is>
          <t>BOOK</t>
        </is>
      </c>
      <c r="BB529" t="inlineStr">
        <is>
          <t>9780226188386</t>
        </is>
      </c>
      <c r="BC529" t="inlineStr">
        <is>
          <t>32285001985539</t>
        </is>
      </c>
      <c r="BD529" t="inlineStr">
        <is>
          <t>893407676</t>
        </is>
      </c>
    </row>
    <row r="530">
      <c r="A530" t="inlineStr">
        <is>
          <t>No</t>
        </is>
      </c>
      <c r="B530" t="inlineStr">
        <is>
          <t>BF431 .F435 1976</t>
        </is>
      </c>
      <c r="C530" t="inlineStr">
        <is>
          <t>0                      BF 0431000F  435         1976</t>
        </is>
      </c>
      <c r="D530" t="inlineStr">
        <is>
          <t>Human intelligence / by Jack Fincher.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Fincher, Jack, 1930-</t>
        </is>
      </c>
      <c r="L530" t="inlineStr">
        <is>
          <t>New York : Putnam, c1976.</t>
        </is>
      </c>
      <c r="M530" t="inlineStr">
        <is>
          <t>1976</t>
        </is>
      </c>
      <c r="O530" t="inlineStr">
        <is>
          <t>eng</t>
        </is>
      </c>
      <c r="P530" t="inlineStr">
        <is>
          <t>nyu</t>
        </is>
      </c>
      <c r="R530" t="inlineStr">
        <is>
          <t xml:space="preserve">BF </t>
        </is>
      </c>
      <c r="S530" t="n">
        <v>7</v>
      </c>
      <c r="T530" t="n">
        <v>7</v>
      </c>
      <c r="U530" t="inlineStr">
        <is>
          <t>2000-10-13</t>
        </is>
      </c>
      <c r="V530" t="inlineStr">
        <is>
          <t>2000-10-13</t>
        </is>
      </c>
      <c r="W530" t="inlineStr">
        <is>
          <t>1996-07-29</t>
        </is>
      </c>
      <c r="X530" t="inlineStr">
        <is>
          <t>1996-07-29</t>
        </is>
      </c>
      <c r="Y530" t="n">
        <v>872</v>
      </c>
      <c r="Z530" t="n">
        <v>797</v>
      </c>
      <c r="AA530" t="n">
        <v>801</v>
      </c>
      <c r="AB530" t="n">
        <v>5</v>
      </c>
      <c r="AC530" t="n">
        <v>5</v>
      </c>
      <c r="AD530" t="n">
        <v>27</v>
      </c>
      <c r="AE530" t="n">
        <v>27</v>
      </c>
      <c r="AF530" t="n">
        <v>13</v>
      </c>
      <c r="AG530" t="n">
        <v>13</v>
      </c>
      <c r="AH530" t="n">
        <v>5</v>
      </c>
      <c r="AI530" t="n">
        <v>5</v>
      </c>
      <c r="AJ530" t="n">
        <v>10</v>
      </c>
      <c r="AK530" t="n">
        <v>10</v>
      </c>
      <c r="AL530" t="n">
        <v>4</v>
      </c>
      <c r="AM530" t="n">
        <v>4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HYPERLINK("https://creighton-primo.hosted.exlibrisgroup.com/primo-explore/search?tab=default_tab&amp;search_scope=EVERYTHING&amp;vid=01CRU&amp;lang=en_US&amp;offset=0&amp;query=any,contains,991003963589702656","Catalog Record")</f>
        <v/>
      </c>
      <c r="AT530">
        <f>HYPERLINK("http://www.worldcat.org/oclc/1976721","WorldCat Record")</f>
        <v/>
      </c>
      <c r="AU530" t="inlineStr">
        <is>
          <t>2751305:eng</t>
        </is>
      </c>
      <c r="AV530" t="inlineStr">
        <is>
          <t>1976721</t>
        </is>
      </c>
      <c r="AW530" t="inlineStr">
        <is>
          <t>991003963589702656</t>
        </is>
      </c>
      <c r="AX530" t="inlineStr">
        <is>
          <t>991003963589702656</t>
        </is>
      </c>
      <c r="AY530" t="inlineStr">
        <is>
          <t>2268635180002656</t>
        </is>
      </c>
      <c r="AZ530" t="inlineStr">
        <is>
          <t>BOOK</t>
        </is>
      </c>
      <c r="BB530" t="inlineStr">
        <is>
          <t>9780399114878</t>
        </is>
      </c>
      <c r="BC530" t="inlineStr">
        <is>
          <t>32285002248374</t>
        </is>
      </c>
      <c r="BD530" t="inlineStr">
        <is>
          <t>893611750</t>
        </is>
      </c>
    </row>
    <row r="531">
      <c r="A531" t="inlineStr">
        <is>
          <t>No</t>
        </is>
      </c>
      <c r="B531" t="inlineStr">
        <is>
          <t>BF431 .F47</t>
        </is>
      </c>
      <c r="C531" t="inlineStr">
        <is>
          <t>0                      BF 0431000F  47</t>
        </is>
      </c>
      <c r="D531" t="inlineStr">
        <is>
          <t>The developmental psychology of Jean Piaget. With a foreword by Jean Piaget.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Flavell, John H.</t>
        </is>
      </c>
      <c r="L531" t="inlineStr">
        <is>
          <t>Princeton, N.J., Van Nostrand [1963]</t>
        </is>
      </c>
      <c r="M531" t="inlineStr">
        <is>
          <t>1963</t>
        </is>
      </c>
      <c r="O531" t="inlineStr">
        <is>
          <t>eng</t>
        </is>
      </c>
      <c r="P531" t="inlineStr">
        <is>
          <t>nju</t>
        </is>
      </c>
      <c r="Q531" t="inlineStr">
        <is>
          <t>The University series in psychology</t>
        </is>
      </c>
      <c r="R531" t="inlineStr">
        <is>
          <t xml:space="preserve">BF </t>
        </is>
      </c>
      <c r="S531" t="n">
        <v>2</v>
      </c>
      <c r="T531" t="n">
        <v>2</v>
      </c>
      <c r="U531" t="inlineStr">
        <is>
          <t>2005-01-18</t>
        </is>
      </c>
      <c r="V531" t="inlineStr">
        <is>
          <t>2005-01-18</t>
        </is>
      </c>
      <c r="W531" t="inlineStr">
        <is>
          <t>1996-07-29</t>
        </is>
      </c>
      <c r="X531" t="inlineStr">
        <is>
          <t>1996-07-29</t>
        </is>
      </c>
      <c r="Y531" t="n">
        <v>1754</v>
      </c>
      <c r="Z531" t="n">
        <v>1393</v>
      </c>
      <c r="AA531" t="n">
        <v>1453</v>
      </c>
      <c r="AB531" t="n">
        <v>11</v>
      </c>
      <c r="AC531" t="n">
        <v>12</v>
      </c>
      <c r="AD531" t="n">
        <v>52</v>
      </c>
      <c r="AE531" t="n">
        <v>54</v>
      </c>
      <c r="AF531" t="n">
        <v>23</v>
      </c>
      <c r="AG531" t="n">
        <v>24</v>
      </c>
      <c r="AH531" t="n">
        <v>11</v>
      </c>
      <c r="AI531" t="n">
        <v>11</v>
      </c>
      <c r="AJ531" t="n">
        <v>22</v>
      </c>
      <c r="AK531" t="n">
        <v>23</v>
      </c>
      <c r="AL531" t="n">
        <v>8</v>
      </c>
      <c r="AM531" t="n">
        <v>8</v>
      </c>
      <c r="AN531" t="n">
        <v>0</v>
      </c>
      <c r="AO531" t="n">
        <v>0</v>
      </c>
      <c r="AP531" t="inlineStr">
        <is>
          <t>Yes</t>
        </is>
      </c>
      <c r="AQ531" t="inlineStr">
        <is>
          <t>No</t>
        </is>
      </c>
      <c r="AR531">
        <f>HYPERLINK("http://catalog.hathitrust.org/Record/000356745","HathiTrust Record")</f>
        <v/>
      </c>
      <c r="AS531">
        <f>HYPERLINK("https://creighton-primo.hosted.exlibrisgroup.com/primo-explore/search?tab=default_tab&amp;search_scope=EVERYTHING&amp;vid=01CRU&amp;lang=en_US&amp;offset=0&amp;query=any,contains,991005264959702656","Catalog Record")</f>
        <v/>
      </c>
      <c r="AT531">
        <f>HYPERLINK("http://www.worldcat.org/oclc/223624","WorldCat Record")</f>
        <v/>
      </c>
      <c r="AU531" t="inlineStr">
        <is>
          <t>3901252228:eng</t>
        </is>
      </c>
      <c r="AV531" t="inlineStr">
        <is>
          <t>223624</t>
        </is>
      </c>
      <c r="AW531" t="inlineStr">
        <is>
          <t>991005264959702656</t>
        </is>
      </c>
      <c r="AX531" t="inlineStr">
        <is>
          <t>991005264959702656</t>
        </is>
      </c>
      <c r="AY531" t="inlineStr">
        <is>
          <t>2264025350002656</t>
        </is>
      </c>
      <c r="AZ531" t="inlineStr">
        <is>
          <t>BOOK</t>
        </is>
      </c>
      <c r="BB531" t="inlineStr">
        <is>
          <t>9780442024130</t>
        </is>
      </c>
      <c r="BC531" t="inlineStr">
        <is>
          <t>32285002248390</t>
        </is>
      </c>
      <c r="BD531" t="inlineStr">
        <is>
          <t>893344931</t>
        </is>
      </c>
    </row>
    <row r="532">
      <c r="A532" t="inlineStr">
        <is>
          <t>No</t>
        </is>
      </c>
      <c r="B532" t="inlineStr">
        <is>
          <t>BF431 .G25</t>
        </is>
      </c>
      <c r="C532" t="inlineStr">
        <is>
          <t>0                      BF 0431000G  25</t>
        </is>
      </c>
      <c r="D532" t="inlineStr">
        <is>
          <t>Psychological tests, methods, and results, by Henry E. Garrett and Matthew R. Schneck.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Garrett, Henry E. (Henry Edward), 1894-1973.</t>
        </is>
      </c>
      <c r="L532" t="inlineStr">
        <is>
          <t>New York and London, Harper &amp; Brothers [1933]</t>
        </is>
      </c>
      <c r="M532" t="inlineStr">
        <is>
          <t>1933</t>
        </is>
      </c>
      <c r="O532" t="inlineStr">
        <is>
          <t>eng</t>
        </is>
      </c>
      <c r="P532" t="inlineStr">
        <is>
          <t>nyu</t>
        </is>
      </c>
      <c r="R532" t="inlineStr">
        <is>
          <t xml:space="preserve">BF </t>
        </is>
      </c>
      <c r="S532" t="n">
        <v>2</v>
      </c>
      <c r="T532" t="n">
        <v>2</v>
      </c>
      <c r="U532" t="inlineStr">
        <is>
          <t>1997-03-23</t>
        </is>
      </c>
      <c r="V532" t="inlineStr">
        <is>
          <t>1997-03-23</t>
        </is>
      </c>
      <c r="W532" t="inlineStr">
        <is>
          <t>1996-07-29</t>
        </is>
      </c>
      <c r="X532" t="inlineStr">
        <is>
          <t>1996-07-29</t>
        </is>
      </c>
      <c r="Y532" t="n">
        <v>282</v>
      </c>
      <c r="Z532" t="n">
        <v>253</v>
      </c>
      <c r="AA532" t="n">
        <v>256</v>
      </c>
      <c r="AB532" t="n">
        <v>2</v>
      </c>
      <c r="AC532" t="n">
        <v>3</v>
      </c>
      <c r="AD532" t="n">
        <v>10</v>
      </c>
      <c r="AE532" t="n">
        <v>11</v>
      </c>
      <c r="AF532" t="n">
        <v>3</v>
      </c>
      <c r="AG532" t="n">
        <v>3</v>
      </c>
      <c r="AH532" t="n">
        <v>2</v>
      </c>
      <c r="AI532" t="n">
        <v>2</v>
      </c>
      <c r="AJ532" t="n">
        <v>5</v>
      </c>
      <c r="AK532" t="n">
        <v>5</v>
      </c>
      <c r="AL532" t="n">
        <v>1</v>
      </c>
      <c r="AM532" t="n">
        <v>2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HYPERLINK("http://catalog.hathitrust.org/Record/000384136","HathiTrust Record")</f>
        <v/>
      </c>
      <c r="AS532">
        <f>HYPERLINK("https://creighton-primo.hosted.exlibrisgroup.com/primo-explore/search?tab=default_tab&amp;search_scope=EVERYTHING&amp;vid=01CRU&amp;lang=en_US&amp;offset=0&amp;query=any,contains,991003540979702656","Catalog Record")</f>
        <v/>
      </c>
      <c r="AT532">
        <f>HYPERLINK("http://www.worldcat.org/oclc/1105169","WorldCat Record")</f>
        <v/>
      </c>
      <c r="AU532" t="inlineStr">
        <is>
          <t>5001043:eng</t>
        </is>
      </c>
      <c r="AV532" t="inlineStr">
        <is>
          <t>1105169</t>
        </is>
      </c>
      <c r="AW532" t="inlineStr">
        <is>
          <t>991003540979702656</t>
        </is>
      </c>
      <c r="AX532" t="inlineStr">
        <is>
          <t>991003540979702656</t>
        </is>
      </c>
      <c r="AY532" t="inlineStr">
        <is>
          <t>2258940380002656</t>
        </is>
      </c>
      <c r="AZ532" t="inlineStr">
        <is>
          <t>BOOK</t>
        </is>
      </c>
      <c r="BC532" t="inlineStr">
        <is>
          <t>32285002248432</t>
        </is>
      </c>
      <c r="BD532" t="inlineStr">
        <is>
          <t>893324172</t>
        </is>
      </c>
    </row>
    <row r="533">
      <c r="A533" t="inlineStr">
        <is>
          <t>No</t>
        </is>
      </c>
      <c r="B533" t="inlineStr">
        <is>
          <t>BF431 .G27</t>
        </is>
      </c>
      <c r="C533" t="inlineStr">
        <is>
          <t>0                      BF 0431000G  27</t>
        </is>
      </c>
      <c r="D533" t="inlineStr">
        <is>
          <t>The new assault on equality : IQ and social stratification / edited by Alan Gartner, Colin Greer [and] Frank Riessman.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Gartner, Alan compiler.</t>
        </is>
      </c>
      <c r="L533" t="inlineStr">
        <is>
          <t>New York : Harper &amp; Row, [1974]</t>
        </is>
      </c>
      <c r="M533" t="inlineStr">
        <is>
          <t>1974</t>
        </is>
      </c>
      <c r="O533" t="inlineStr">
        <is>
          <t>eng</t>
        </is>
      </c>
      <c r="P533" t="inlineStr">
        <is>
          <t>nyu</t>
        </is>
      </c>
      <c r="Q533" t="inlineStr">
        <is>
          <t>A Social policy book</t>
        </is>
      </c>
      <c r="R533" t="inlineStr">
        <is>
          <t xml:space="preserve">BF </t>
        </is>
      </c>
      <c r="S533" t="n">
        <v>7</v>
      </c>
      <c r="T533" t="n">
        <v>7</v>
      </c>
      <c r="U533" t="inlineStr">
        <is>
          <t>2005-12-08</t>
        </is>
      </c>
      <c r="V533" t="inlineStr">
        <is>
          <t>2005-12-08</t>
        </is>
      </c>
      <c r="W533" t="inlineStr">
        <is>
          <t>1993-03-04</t>
        </is>
      </c>
      <c r="X533" t="inlineStr">
        <is>
          <t>1993-03-04</t>
        </is>
      </c>
      <c r="Y533" t="n">
        <v>327</v>
      </c>
      <c r="Z533" t="n">
        <v>249</v>
      </c>
      <c r="AA533" t="n">
        <v>251</v>
      </c>
      <c r="AB533" t="n">
        <v>3</v>
      </c>
      <c r="AC533" t="n">
        <v>3</v>
      </c>
      <c r="AD533" t="n">
        <v>11</v>
      </c>
      <c r="AE533" t="n">
        <v>11</v>
      </c>
      <c r="AF533" t="n">
        <v>2</v>
      </c>
      <c r="AG533" t="n">
        <v>2</v>
      </c>
      <c r="AH533" t="n">
        <v>3</v>
      </c>
      <c r="AI533" t="n">
        <v>3</v>
      </c>
      <c r="AJ533" t="n">
        <v>6</v>
      </c>
      <c r="AK533" t="n">
        <v>6</v>
      </c>
      <c r="AL533" t="n">
        <v>2</v>
      </c>
      <c r="AM533" t="n">
        <v>2</v>
      </c>
      <c r="AN533" t="n">
        <v>1</v>
      </c>
      <c r="AO533" t="n">
        <v>1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HYPERLINK("https://creighton-primo.hosted.exlibrisgroup.com/primo-explore/search?tab=default_tab&amp;search_scope=EVERYTHING&amp;vid=01CRU&amp;lang=en_US&amp;offset=0&amp;query=any,contains,991003366669702656","Catalog Record")</f>
        <v/>
      </c>
      <c r="AT533">
        <f>HYPERLINK("http://www.worldcat.org/oclc/902428","WorldCat Record")</f>
        <v/>
      </c>
      <c r="AU533" t="inlineStr">
        <is>
          <t>821655621:eng</t>
        </is>
      </c>
      <c r="AV533" t="inlineStr">
        <is>
          <t>902428</t>
        </is>
      </c>
      <c r="AW533" t="inlineStr">
        <is>
          <t>991003366669702656</t>
        </is>
      </c>
      <c r="AX533" t="inlineStr">
        <is>
          <t>991003366669702656</t>
        </is>
      </c>
      <c r="AY533" t="inlineStr">
        <is>
          <t>2262541360002656</t>
        </is>
      </c>
      <c r="AZ533" t="inlineStr">
        <is>
          <t>BOOK</t>
        </is>
      </c>
      <c r="BB533" t="inlineStr">
        <is>
          <t>9780061361463</t>
        </is>
      </c>
      <c r="BC533" t="inlineStr">
        <is>
          <t>32285001542462</t>
        </is>
      </c>
      <c r="BD533" t="inlineStr">
        <is>
          <t>893336429</t>
        </is>
      </c>
    </row>
    <row r="534">
      <c r="A534" t="inlineStr">
        <is>
          <t>No</t>
        </is>
      </c>
      <c r="B534" t="inlineStr">
        <is>
          <t>BF431 .G65</t>
        </is>
      </c>
      <c r="C534" t="inlineStr">
        <is>
          <t>0                      BF 0431000G  65</t>
        </is>
      </c>
      <c r="D534" t="inlineStr">
        <is>
          <t>The search for ability; standardized testing in social perspective.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K534" t="inlineStr">
        <is>
          <t>Goslin, David A.</t>
        </is>
      </c>
      <c r="L534" t="inlineStr">
        <is>
          <t>New York, Russell Sage Foundation, 1963.</t>
        </is>
      </c>
      <c r="M534" t="inlineStr">
        <is>
          <t>1963</t>
        </is>
      </c>
      <c r="O534" t="inlineStr">
        <is>
          <t>eng</t>
        </is>
      </c>
      <c r="P534" t="inlineStr">
        <is>
          <t>nyu</t>
        </is>
      </c>
      <c r="Q534" t="inlineStr">
        <is>
          <t>Social consequences of ability testing ; v. 1</t>
        </is>
      </c>
      <c r="R534" t="inlineStr">
        <is>
          <t xml:space="preserve">BF </t>
        </is>
      </c>
      <c r="S534" t="n">
        <v>2</v>
      </c>
      <c r="T534" t="n">
        <v>2</v>
      </c>
      <c r="U534" t="inlineStr">
        <is>
          <t>2001-04-06</t>
        </is>
      </c>
      <c r="V534" t="inlineStr">
        <is>
          <t>2001-04-06</t>
        </is>
      </c>
      <c r="W534" t="inlineStr">
        <is>
          <t>1996-07-29</t>
        </is>
      </c>
      <c r="X534" t="inlineStr">
        <is>
          <t>1996-07-29</t>
        </is>
      </c>
      <c r="Y534" t="n">
        <v>768</v>
      </c>
      <c r="Z534" t="n">
        <v>679</v>
      </c>
      <c r="AA534" t="n">
        <v>759</v>
      </c>
      <c r="AB534" t="n">
        <v>6</v>
      </c>
      <c r="AC534" t="n">
        <v>6</v>
      </c>
      <c r="AD534" t="n">
        <v>34</v>
      </c>
      <c r="AE534" t="n">
        <v>36</v>
      </c>
      <c r="AF534" t="n">
        <v>14</v>
      </c>
      <c r="AG534" t="n">
        <v>16</v>
      </c>
      <c r="AH534" t="n">
        <v>7</v>
      </c>
      <c r="AI534" t="n">
        <v>8</v>
      </c>
      <c r="AJ534" t="n">
        <v>15</v>
      </c>
      <c r="AK534" t="n">
        <v>15</v>
      </c>
      <c r="AL534" t="n">
        <v>5</v>
      </c>
      <c r="AM534" t="n">
        <v>5</v>
      </c>
      <c r="AN534" t="n">
        <v>0</v>
      </c>
      <c r="AO534" t="n">
        <v>0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HYPERLINK("https://creighton-primo.hosted.exlibrisgroup.com/primo-explore/search?tab=default_tab&amp;search_scope=EVERYTHING&amp;vid=01CRU&amp;lang=en_US&amp;offset=0&amp;query=any,contains,991003429359702656","Catalog Record")</f>
        <v/>
      </c>
      <c r="AT534">
        <f>HYPERLINK("http://www.worldcat.org/oclc/965224","WorldCat Record")</f>
        <v/>
      </c>
      <c r="AU534" t="inlineStr">
        <is>
          <t>1919293:eng</t>
        </is>
      </c>
      <c r="AV534" t="inlineStr">
        <is>
          <t>965224</t>
        </is>
      </c>
      <c r="AW534" t="inlineStr">
        <is>
          <t>991003429359702656</t>
        </is>
      </c>
      <c r="AX534" t="inlineStr">
        <is>
          <t>991003429359702656</t>
        </is>
      </c>
      <c r="AY534" t="inlineStr">
        <is>
          <t>2258191920002656</t>
        </is>
      </c>
      <c r="AZ534" t="inlineStr">
        <is>
          <t>BOOK</t>
        </is>
      </c>
      <c r="BC534" t="inlineStr">
        <is>
          <t>32285002248457</t>
        </is>
      </c>
      <c r="BD534" t="inlineStr">
        <is>
          <t>893899963</t>
        </is>
      </c>
    </row>
    <row r="535">
      <c r="A535" t="inlineStr">
        <is>
          <t>No</t>
        </is>
      </c>
      <c r="B535" t="inlineStr">
        <is>
          <t>BF431 .H399</t>
        </is>
      </c>
      <c r="C535" t="inlineStr">
        <is>
          <t>0                      BF 0431000H  399</t>
        </is>
      </c>
      <c r="D535" t="inlineStr">
        <is>
          <t>I.Q. in the meritocracy [by] R. J. Herrnstein.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Herrnstein, Richard J.</t>
        </is>
      </c>
      <c r="L535" t="inlineStr">
        <is>
          <t>Boston, Little, Brown [1973]</t>
        </is>
      </c>
      <c r="M535" t="inlineStr">
        <is>
          <t>1973</t>
        </is>
      </c>
      <c r="N535" t="inlineStr">
        <is>
          <t>[1st ed.]</t>
        </is>
      </c>
      <c r="O535" t="inlineStr">
        <is>
          <t>eng</t>
        </is>
      </c>
      <c r="P535" t="inlineStr">
        <is>
          <t>mau</t>
        </is>
      </c>
      <c r="R535" t="inlineStr">
        <is>
          <t xml:space="preserve">BF </t>
        </is>
      </c>
      <c r="S535" t="n">
        <v>5</v>
      </c>
      <c r="T535" t="n">
        <v>5</v>
      </c>
      <c r="U535" t="inlineStr">
        <is>
          <t>1998-10-11</t>
        </is>
      </c>
      <c r="V535" t="inlineStr">
        <is>
          <t>1998-10-11</t>
        </is>
      </c>
      <c r="W535" t="inlineStr">
        <is>
          <t>1996-07-29</t>
        </is>
      </c>
      <c r="X535" t="inlineStr">
        <is>
          <t>1996-07-29</t>
        </is>
      </c>
      <c r="Y535" t="n">
        <v>763</v>
      </c>
      <c r="Z535" t="n">
        <v>673</v>
      </c>
      <c r="AA535" t="n">
        <v>679</v>
      </c>
      <c r="AB535" t="n">
        <v>5</v>
      </c>
      <c r="AC535" t="n">
        <v>5</v>
      </c>
      <c r="AD535" t="n">
        <v>26</v>
      </c>
      <c r="AE535" t="n">
        <v>26</v>
      </c>
      <c r="AF535" t="n">
        <v>8</v>
      </c>
      <c r="AG535" t="n">
        <v>8</v>
      </c>
      <c r="AH535" t="n">
        <v>7</v>
      </c>
      <c r="AI535" t="n">
        <v>7</v>
      </c>
      <c r="AJ535" t="n">
        <v>16</v>
      </c>
      <c r="AK535" t="n">
        <v>16</v>
      </c>
      <c r="AL535" t="n">
        <v>3</v>
      </c>
      <c r="AM535" t="n">
        <v>3</v>
      </c>
      <c r="AN535" t="n">
        <v>0</v>
      </c>
      <c r="AO535" t="n">
        <v>0</v>
      </c>
      <c r="AP535" t="inlineStr">
        <is>
          <t>No</t>
        </is>
      </c>
      <c r="AQ535" t="inlineStr">
        <is>
          <t>No</t>
        </is>
      </c>
      <c r="AS535">
        <f>HYPERLINK("https://creighton-primo.hosted.exlibrisgroup.com/primo-explore/search?tab=default_tab&amp;search_scope=EVERYTHING&amp;vid=01CRU&amp;lang=en_US&amp;offset=0&amp;query=any,contains,991002979269702656","Catalog Record")</f>
        <v/>
      </c>
      <c r="AT535">
        <f>HYPERLINK("http://www.worldcat.org/oclc/554134","WorldCat Record")</f>
        <v/>
      </c>
      <c r="AU535" t="inlineStr">
        <is>
          <t>348167215:eng</t>
        </is>
      </c>
      <c r="AV535" t="inlineStr">
        <is>
          <t>554134</t>
        </is>
      </c>
      <c r="AW535" t="inlineStr">
        <is>
          <t>991002979269702656</t>
        </is>
      </c>
      <c r="AX535" t="inlineStr">
        <is>
          <t>991002979269702656</t>
        </is>
      </c>
      <c r="AY535" t="inlineStr">
        <is>
          <t>2258571930002656</t>
        </is>
      </c>
      <c r="AZ535" t="inlineStr">
        <is>
          <t>BOOK</t>
        </is>
      </c>
      <c r="BB535" t="inlineStr">
        <is>
          <t>9780316358644</t>
        </is>
      </c>
      <c r="BC535" t="inlineStr">
        <is>
          <t>32285002248507</t>
        </is>
      </c>
      <c r="BD535" t="inlineStr">
        <is>
          <t>893805290</t>
        </is>
      </c>
    </row>
    <row r="536">
      <c r="A536" t="inlineStr">
        <is>
          <t>No</t>
        </is>
      </c>
      <c r="B536" t="inlineStr">
        <is>
          <t>BF431 .H77</t>
        </is>
      </c>
      <c r="C536" t="inlineStr">
        <is>
          <t>0                      BF 0431000H  77</t>
        </is>
      </c>
      <c r="D536" t="inlineStr">
        <is>
          <t>Aptitude testing / by Clark L. Hull.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Hull, Clark Leonard, 1884-1952.</t>
        </is>
      </c>
      <c r="L536" t="inlineStr">
        <is>
          <t>Yonkers-on-Hudson, N.Y. : World Book Company, c1928.</t>
        </is>
      </c>
      <c r="M536" t="inlineStr">
        <is>
          <t>1928</t>
        </is>
      </c>
      <c r="O536" t="inlineStr">
        <is>
          <t>eng</t>
        </is>
      </c>
      <c r="P536" t="inlineStr">
        <is>
          <t>nyu</t>
        </is>
      </c>
      <c r="Q536" t="inlineStr">
        <is>
          <t>Measurement and adjustment series</t>
        </is>
      </c>
      <c r="R536" t="inlineStr">
        <is>
          <t xml:space="preserve">BF </t>
        </is>
      </c>
      <c r="S536" t="n">
        <v>2</v>
      </c>
      <c r="T536" t="n">
        <v>2</v>
      </c>
      <c r="U536" t="inlineStr">
        <is>
          <t>1997-03-23</t>
        </is>
      </c>
      <c r="V536" t="inlineStr">
        <is>
          <t>1997-03-23</t>
        </is>
      </c>
      <c r="W536" t="inlineStr">
        <is>
          <t>1996-07-29</t>
        </is>
      </c>
      <c r="X536" t="inlineStr">
        <is>
          <t>1996-07-29</t>
        </is>
      </c>
      <c r="Y536" t="n">
        <v>296</v>
      </c>
      <c r="Z536" t="n">
        <v>257</v>
      </c>
      <c r="AA536" t="n">
        <v>342</v>
      </c>
      <c r="AB536" t="n">
        <v>4</v>
      </c>
      <c r="AC536" t="n">
        <v>5</v>
      </c>
      <c r="AD536" t="n">
        <v>13</v>
      </c>
      <c r="AE536" t="n">
        <v>18</v>
      </c>
      <c r="AF536" t="n">
        <v>5</v>
      </c>
      <c r="AG536" t="n">
        <v>6</v>
      </c>
      <c r="AH536" t="n">
        <v>4</v>
      </c>
      <c r="AI536" t="n">
        <v>4</v>
      </c>
      <c r="AJ536" t="n">
        <v>5</v>
      </c>
      <c r="AK536" t="n">
        <v>8</v>
      </c>
      <c r="AL536" t="n">
        <v>3</v>
      </c>
      <c r="AM536" t="n">
        <v>4</v>
      </c>
      <c r="AN536" t="n">
        <v>0</v>
      </c>
      <c r="AO536" t="n">
        <v>0</v>
      </c>
      <c r="AP536" t="inlineStr">
        <is>
          <t>Yes</t>
        </is>
      </c>
      <c r="AQ536" t="inlineStr">
        <is>
          <t>No</t>
        </is>
      </c>
      <c r="AR536">
        <f>HYPERLINK("http://catalog.hathitrust.org/Record/000383313","HathiTrust Record")</f>
        <v/>
      </c>
      <c r="AS536">
        <f>HYPERLINK("https://creighton-primo.hosted.exlibrisgroup.com/primo-explore/search?tab=default_tab&amp;search_scope=EVERYTHING&amp;vid=01CRU&amp;lang=en_US&amp;offset=0&amp;query=any,contains,991003536079702656","Catalog Record")</f>
        <v/>
      </c>
      <c r="AT536">
        <f>HYPERLINK("http://www.worldcat.org/oclc/1100854","WorldCat Record")</f>
        <v/>
      </c>
      <c r="AU536" t="inlineStr">
        <is>
          <t>1960880:eng</t>
        </is>
      </c>
      <c r="AV536" t="inlineStr">
        <is>
          <t>1100854</t>
        </is>
      </c>
      <c r="AW536" t="inlineStr">
        <is>
          <t>991003536079702656</t>
        </is>
      </c>
      <c r="AX536" t="inlineStr">
        <is>
          <t>991003536079702656</t>
        </is>
      </c>
      <c r="AY536" t="inlineStr">
        <is>
          <t>2269114640002656</t>
        </is>
      </c>
      <c r="AZ536" t="inlineStr">
        <is>
          <t>BOOK</t>
        </is>
      </c>
      <c r="BC536" t="inlineStr">
        <is>
          <t>32285002248531</t>
        </is>
      </c>
      <c r="BD536" t="inlineStr">
        <is>
          <t>893781107</t>
        </is>
      </c>
    </row>
    <row r="537">
      <c r="A537" t="inlineStr">
        <is>
          <t>No</t>
        </is>
      </c>
      <c r="B537" t="inlineStr">
        <is>
          <t>BF431 .K53</t>
        </is>
      </c>
      <c r="C537" t="inlineStr">
        <is>
          <t>0                      BF 0431000K  53</t>
        </is>
      </c>
      <c r="D537" t="inlineStr">
        <is>
          <t>The Rorschach technique; a manual for a projective method of personality diagnosis, by Bruno Klopfer...with clinical contributions by Douglas McGlashan Kelley...introduction by Nolan D. C. Lewis...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Klopfer, Bruno.</t>
        </is>
      </c>
      <c r="L537" t="inlineStr">
        <is>
          <t>Yonkers-on-Hudson, N.Y., World Book Co. [1942]</t>
        </is>
      </c>
      <c r="M537" t="inlineStr">
        <is>
          <t>1942</t>
        </is>
      </c>
      <c r="O537" t="inlineStr">
        <is>
          <t>eng</t>
        </is>
      </c>
      <c r="P537" t="inlineStr">
        <is>
          <t xml:space="preserve">xx </t>
        </is>
      </c>
      <c r="R537" t="inlineStr">
        <is>
          <t xml:space="preserve">BF </t>
        </is>
      </c>
      <c r="S537" t="n">
        <v>1</v>
      </c>
      <c r="T537" t="n">
        <v>1</v>
      </c>
      <c r="U537" t="inlineStr">
        <is>
          <t>2002-04-14</t>
        </is>
      </c>
      <c r="V537" t="inlineStr">
        <is>
          <t>2002-04-14</t>
        </is>
      </c>
      <c r="W537" t="inlineStr">
        <is>
          <t>1996-07-29</t>
        </is>
      </c>
      <c r="X537" t="inlineStr">
        <is>
          <t>1996-07-29</t>
        </is>
      </c>
      <c r="Y537" t="n">
        <v>314</v>
      </c>
      <c r="Z537" t="n">
        <v>274</v>
      </c>
      <c r="AA537" t="n">
        <v>444</v>
      </c>
      <c r="AB537" t="n">
        <v>2</v>
      </c>
      <c r="AC537" t="n">
        <v>2</v>
      </c>
      <c r="AD537" t="n">
        <v>14</v>
      </c>
      <c r="AE537" t="n">
        <v>19</v>
      </c>
      <c r="AF537" t="n">
        <v>7</v>
      </c>
      <c r="AG537" t="n">
        <v>9</v>
      </c>
      <c r="AH537" t="n">
        <v>3</v>
      </c>
      <c r="AI537" t="n">
        <v>5</v>
      </c>
      <c r="AJ537" t="n">
        <v>5</v>
      </c>
      <c r="AK537" t="n">
        <v>7</v>
      </c>
      <c r="AL537" t="n">
        <v>1</v>
      </c>
      <c r="AM537" t="n">
        <v>1</v>
      </c>
      <c r="AN537" t="n">
        <v>0</v>
      </c>
      <c r="AO537" t="n">
        <v>0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HYPERLINK("http://catalog.hathitrust.org/Record/000385513","HathiTrust Record")</f>
        <v/>
      </c>
      <c r="AS537">
        <f>HYPERLINK("https://creighton-primo.hosted.exlibrisgroup.com/primo-explore/search?tab=default_tab&amp;search_scope=EVERYTHING&amp;vid=01CRU&amp;lang=en_US&amp;offset=0&amp;query=any,contains,991003541039702656","Catalog Record")</f>
        <v/>
      </c>
      <c r="AT537">
        <f>HYPERLINK("http://www.worldcat.org/oclc/1105222","WorldCat Record")</f>
        <v/>
      </c>
      <c r="AU537" t="inlineStr">
        <is>
          <t>1934131:eng</t>
        </is>
      </c>
      <c r="AV537" t="inlineStr">
        <is>
          <t>1105222</t>
        </is>
      </c>
      <c r="AW537" t="inlineStr">
        <is>
          <t>991003541039702656</t>
        </is>
      </c>
      <c r="AX537" t="inlineStr">
        <is>
          <t>991003541039702656</t>
        </is>
      </c>
      <c r="AY537" t="inlineStr">
        <is>
          <t>2259037120002656</t>
        </is>
      </c>
      <c r="AZ537" t="inlineStr">
        <is>
          <t>BOOK</t>
        </is>
      </c>
      <c r="BC537" t="inlineStr">
        <is>
          <t>32285002248564</t>
        </is>
      </c>
      <c r="BD537" t="inlineStr">
        <is>
          <t>893868532</t>
        </is>
      </c>
    </row>
    <row r="538">
      <c r="A538" t="inlineStr">
        <is>
          <t>No</t>
        </is>
      </c>
      <c r="B538" t="inlineStr">
        <is>
          <t>BF431 .M53 1973</t>
        </is>
      </c>
      <c r="C538" t="inlineStr">
        <is>
          <t>0                      BF 0431000M  53          1973</t>
        </is>
      </c>
      <c r="D538" t="inlineStr">
        <is>
          <t>Intelligence in the United States; a survey with conclusions for manpower utilization in education and employment, by John B. Miner.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Miner, John B.</t>
        </is>
      </c>
      <c r="L538" t="inlineStr">
        <is>
          <t>Westport, Conn., Greenwood Press [1973, c1956]</t>
        </is>
      </c>
      <c r="M538" t="inlineStr">
        <is>
          <t>1973</t>
        </is>
      </c>
      <c r="O538" t="inlineStr">
        <is>
          <t>eng</t>
        </is>
      </c>
      <c r="P538" t="inlineStr">
        <is>
          <t>ctu</t>
        </is>
      </c>
      <c r="R538" t="inlineStr">
        <is>
          <t xml:space="preserve">BF </t>
        </is>
      </c>
      <c r="S538" t="n">
        <v>2</v>
      </c>
      <c r="T538" t="n">
        <v>2</v>
      </c>
      <c r="U538" t="inlineStr">
        <is>
          <t>1997-03-23</t>
        </is>
      </c>
      <c r="V538" t="inlineStr">
        <is>
          <t>1997-03-23</t>
        </is>
      </c>
      <c r="W538" t="inlineStr">
        <is>
          <t>1996-07-29</t>
        </is>
      </c>
      <c r="X538" t="inlineStr">
        <is>
          <t>1996-07-29</t>
        </is>
      </c>
      <c r="Y538" t="n">
        <v>67</v>
      </c>
      <c r="Z538" t="n">
        <v>58</v>
      </c>
      <c r="AA538" t="n">
        <v>403</v>
      </c>
      <c r="AB538" t="n">
        <v>1</v>
      </c>
      <c r="AC538" t="n">
        <v>7</v>
      </c>
      <c r="AD538" t="n">
        <v>2</v>
      </c>
      <c r="AE538" t="n">
        <v>21</v>
      </c>
      <c r="AF538" t="n">
        <v>1</v>
      </c>
      <c r="AG538" t="n">
        <v>7</v>
      </c>
      <c r="AH538" t="n">
        <v>0</v>
      </c>
      <c r="AI538" t="n">
        <v>2</v>
      </c>
      <c r="AJ538" t="n">
        <v>2</v>
      </c>
      <c r="AK538" t="n">
        <v>8</v>
      </c>
      <c r="AL538" t="n">
        <v>0</v>
      </c>
      <c r="AM538" t="n">
        <v>6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HYPERLINK("https://creighton-primo.hosted.exlibrisgroup.com/primo-explore/search?tab=default_tab&amp;search_scope=EVERYTHING&amp;vid=01CRU&amp;lang=en_US&amp;offset=0&amp;query=any,contains,991002908909702656","Catalog Record")</f>
        <v/>
      </c>
      <c r="AT538">
        <f>HYPERLINK("http://www.worldcat.org/oclc/520725","WorldCat Record")</f>
        <v/>
      </c>
      <c r="AU538" t="inlineStr">
        <is>
          <t>1311409:eng</t>
        </is>
      </c>
      <c r="AV538" t="inlineStr">
        <is>
          <t>520725</t>
        </is>
      </c>
      <c r="AW538" t="inlineStr">
        <is>
          <t>991002908909702656</t>
        </is>
      </c>
      <c r="AX538" t="inlineStr">
        <is>
          <t>991002908909702656</t>
        </is>
      </c>
      <c r="AY538" t="inlineStr">
        <is>
          <t>2267949280002656</t>
        </is>
      </c>
      <c r="AZ538" t="inlineStr">
        <is>
          <t>BOOK</t>
        </is>
      </c>
      <c r="BB538" t="inlineStr">
        <is>
          <t>9780837166674</t>
        </is>
      </c>
      <c r="BC538" t="inlineStr">
        <is>
          <t>32285002248614</t>
        </is>
      </c>
      <c r="BD538" t="inlineStr">
        <is>
          <t>893329706</t>
        </is>
      </c>
    </row>
    <row r="539">
      <c r="A539" t="inlineStr">
        <is>
          <t>No</t>
        </is>
      </c>
      <c r="B539" t="inlineStr">
        <is>
          <t>BF431 .M553 1986</t>
        </is>
      </c>
      <c r="C539" t="inlineStr">
        <is>
          <t>0                      BF 0431000M  553         1986</t>
        </is>
      </c>
      <c r="D539" t="inlineStr">
        <is>
          <t>The society of mind / Marvin Minsky.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Minsky, Marvin, 1927-2016.</t>
        </is>
      </c>
      <c r="L539" t="inlineStr">
        <is>
          <t>New York, N.Y. : Simon and Schuster, c1986.</t>
        </is>
      </c>
      <c r="M539" t="inlineStr">
        <is>
          <t>1986</t>
        </is>
      </c>
      <c r="O539" t="inlineStr">
        <is>
          <t>eng</t>
        </is>
      </c>
      <c r="P539" t="inlineStr">
        <is>
          <t>nyu</t>
        </is>
      </c>
      <c r="R539" t="inlineStr">
        <is>
          <t xml:space="preserve">BF </t>
        </is>
      </c>
      <c r="S539" t="n">
        <v>3</v>
      </c>
      <c r="T539" t="n">
        <v>3</v>
      </c>
      <c r="U539" t="inlineStr">
        <is>
          <t>2002-10-28</t>
        </is>
      </c>
      <c r="V539" t="inlineStr">
        <is>
          <t>2002-10-28</t>
        </is>
      </c>
      <c r="W539" t="inlineStr">
        <is>
          <t>1993-03-29</t>
        </is>
      </c>
      <c r="X539" t="inlineStr">
        <is>
          <t>1993-03-29</t>
        </is>
      </c>
      <c r="Y539" t="n">
        <v>1189</v>
      </c>
      <c r="Z539" t="n">
        <v>1020</v>
      </c>
      <c r="AA539" t="n">
        <v>1196</v>
      </c>
      <c r="AB539" t="n">
        <v>5</v>
      </c>
      <c r="AC539" t="n">
        <v>6</v>
      </c>
      <c r="AD539" t="n">
        <v>25</v>
      </c>
      <c r="AE539" t="n">
        <v>31</v>
      </c>
      <c r="AF539" t="n">
        <v>9</v>
      </c>
      <c r="AG539" t="n">
        <v>11</v>
      </c>
      <c r="AH539" t="n">
        <v>7</v>
      </c>
      <c r="AI539" t="n">
        <v>7</v>
      </c>
      <c r="AJ539" t="n">
        <v>16</v>
      </c>
      <c r="AK539" t="n">
        <v>20</v>
      </c>
      <c r="AL539" t="n">
        <v>0</v>
      </c>
      <c r="AM539" t="n">
        <v>1</v>
      </c>
      <c r="AN539" t="n">
        <v>1</v>
      </c>
      <c r="AO539" t="n">
        <v>2</v>
      </c>
      <c r="AP539" t="inlineStr">
        <is>
          <t>No</t>
        </is>
      </c>
      <c r="AQ539" t="inlineStr">
        <is>
          <t>Yes</t>
        </is>
      </c>
      <c r="AR539">
        <f>HYPERLINK("http://catalog.hathitrust.org/Record/000804927","HathiTrust Record")</f>
        <v/>
      </c>
      <c r="AS539">
        <f>HYPERLINK("https://creighton-primo.hosted.exlibrisgroup.com/primo-explore/search?tab=default_tab&amp;search_scope=EVERYTHING&amp;vid=01CRU&amp;lang=en_US&amp;offset=0&amp;query=any,contains,991000905659702656","Catalog Record")</f>
        <v/>
      </c>
      <c r="AT539">
        <f>HYPERLINK("http://www.worldcat.org/oclc/14097999","WorldCat Record")</f>
        <v/>
      </c>
      <c r="AU539" t="inlineStr">
        <is>
          <t>4919661456:eng</t>
        </is>
      </c>
      <c r="AV539" t="inlineStr">
        <is>
          <t>14097999</t>
        </is>
      </c>
      <c r="AW539" t="inlineStr">
        <is>
          <t>991000905659702656</t>
        </is>
      </c>
      <c r="AX539" t="inlineStr">
        <is>
          <t>991000905659702656</t>
        </is>
      </c>
      <c r="AY539" t="inlineStr">
        <is>
          <t>2266191910002656</t>
        </is>
      </c>
      <c r="AZ539" t="inlineStr">
        <is>
          <t>BOOK</t>
        </is>
      </c>
      <c r="BB539" t="inlineStr">
        <is>
          <t>9780671607401</t>
        </is>
      </c>
      <c r="BC539" t="inlineStr">
        <is>
          <t>32285001592152</t>
        </is>
      </c>
      <c r="BD539" t="inlineStr">
        <is>
          <t>893522117</t>
        </is>
      </c>
    </row>
    <row r="540">
      <c r="A540" t="inlineStr">
        <is>
          <t>No</t>
        </is>
      </c>
      <c r="B540" t="inlineStr">
        <is>
          <t>BF431 .N38</t>
        </is>
      </c>
      <c r="C540" t="inlineStr">
        <is>
          <t>0                      BF 0431000N  38</t>
        </is>
      </c>
      <c r="D540" t="inlineStr">
        <is>
          <t>The Nature of intelligence / edited by Lauren B. Resnick.</t>
        </is>
      </c>
      <c r="F540" t="inlineStr">
        <is>
          <t>No</t>
        </is>
      </c>
      <c r="G540" t="inlineStr">
        <is>
          <t>1</t>
        </is>
      </c>
      <c r="H540" t="inlineStr">
        <is>
          <t>Yes</t>
        </is>
      </c>
      <c r="I540" t="inlineStr">
        <is>
          <t>No</t>
        </is>
      </c>
      <c r="J540" t="inlineStr">
        <is>
          <t>0</t>
        </is>
      </c>
      <c r="L540" t="inlineStr">
        <is>
          <t>Hillsdale, N.J. : Lawrence Erlbaum Associates ; New York : distributed by Halsted Press Division of J. Wiley, 1976.</t>
        </is>
      </c>
      <c r="M540" t="inlineStr">
        <is>
          <t>1976</t>
        </is>
      </c>
      <c r="O540" t="inlineStr">
        <is>
          <t>eng</t>
        </is>
      </c>
      <c r="P540" t="inlineStr">
        <is>
          <t>nju</t>
        </is>
      </c>
      <c r="R540" t="inlineStr">
        <is>
          <t xml:space="preserve">BF </t>
        </is>
      </c>
      <c r="S540" t="n">
        <v>6</v>
      </c>
      <c r="T540" t="n">
        <v>6</v>
      </c>
      <c r="U540" t="inlineStr">
        <is>
          <t>1998-10-06</t>
        </is>
      </c>
      <c r="V540" t="inlineStr">
        <is>
          <t>1998-10-06</t>
        </is>
      </c>
      <c r="W540" t="inlineStr">
        <is>
          <t>1992-11-04</t>
        </is>
      </c>
      <c r="X540" t="inlineStr">
        <is>
          <t>2004-10-14</t>
        </is>
      </c>
      <c r="Y540" t="n">
        <v>736</v>
      </c>
      <c r="Z540" t="n">
        <v>562</v>
      </c>
      <c r="AA540" t="n">
        <v>562</v>
      </c>
      <c r="AB540" t="n">
        <v>4</v>
      </c>
      <c r="AC540" t="n">
        <v>4</v>
      </c>
      <c r="AD540" t="n">
        <v>28</v>
      </c>
      <c r="AE540" t="n">
        <v>28</v>
      </c>
      <c r="AF540" t="n">
        <v>13</v>
      </c>
      <c r="AG540" t="n">
        <v>13</v>
      </c>
      <c r="AH540" t="n">
        <v>8</v>
      </c>
      <c r="AI540" t="n">
        <v>8</v>
      </c>
      <c r="AJ540" t="n">
        <v>14</v>
      </c>
      <c r="AK540" t="n">
        <v>14</v>
      </c>
      <c r="AL540" t="n">
        <v>2</v>
      </c>
      <c r="AM540" t="n">
        <v>2</v>
      </c>
      <c r="AN540" t="n">
        <v>0</v>
      </c>
      <c r="AO540" t="n">
        <v>0</v>
      </c>
      <c r="AP540" t="inlineStr">
        <is>
          <t>No</t>
        </is>
      </c>
      <c r="AQ540" t="inlineStr">
        <is>
          <t>No</t>
        </is>
      </c>
      <c r="AS540">
        <f>HYPERLINK("https://creighton-primo.hosted.exlibrisgroup.com/primo-explore/search?tab=default_tab&amp;search_scope=EVERYTHING&amp;vid=01CRU&amp;lang=en_US&amp;offset=0&amp;query=any,contains,991001653719702656","Catalog Record")</f>
        <v/>
      </c>
      <c r="AT540">
        <f>HYPERLINK("http://www.worldcat.org/oclc/2310630","WorldCat Record")</f>
        <v/>
      </c>
      <c r="AU540" t="inlineStr">
        <is>
          <t>365344738:eng</t>
        </is>
      </c>
      <c r="AV540" t="inlineStr">
        <is>
          <t>2310630</t>
        </is>
      </c>
      <c r="AW540" t="inlineStr">
        <is>
          <t>991001653719702656</t>
        </is>
      </c>
      <c r="AX540" t="inlineStr">
        <is>
          <t>991001653719702656</t>
        </is>
      </c>
      <c r="AY540" t="inlineStr">
        <is>
          <t>2261461250002656</t>
        </is>
      </c>
      <c r="AZ540" t="inlineStr">
        <is>
          <t>BOOK</t>
        </is>
      </c>
      <c r="BB540" t="inlineStr">
        <is>
          <t>9780470013847</t>
        </is>
      </c>
      <c r="BC540" t="inlineStr">
        <is>
          <t>32285001380780</t>
        </is>
      </c>
      <c r="BD540" t="inlineStr">
        <is>
          <t>893334458</t>
        </is>
      </c>
    </row>
    <row r="541">
      <c r="A541" t="inlineStr">
        <is>
          <t>No</t>
        </is>
      </c>
      <c r="B541" t="inlineStr">
        <is>
          <t>BF431 .P44 1969</t>
        </is>
      </c>
      <c r="C541" t="inlineStr">
        <is>
          <t>0                      BF 0431000P  44          1969</t>
        </is>
      </c>
      <c r="D541" t="inlineStr">
        <is>
          <t>Early conceptions and tests of intelligence.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K541" t="inlineStr">
        <is>
          <t>Peterson, Joseph, 1878-1935.</t>
        </is>
      </c>
      <c r="L541" t="inlineStr">
        <is>
          <t>Westport, Conn., Greenwood Press [1969]</t>
        </is>
      </c>
      <c r="M541" t="inlineStr">
        <is>
          <t>1969</t>
        </is>
      </c>
      <c r="O541" t="inlineStr">
        <is>
          <t>eng</t>
        </is>
      </c>
      <c r="P541" t="inlineStr">
        <is>
          <t>ctu</t>
        </is>
      </c>
      <c r="Q541" t="inlineStr">
        <is>
          <t>Measurement and adjustment series</t>
        </is>
      </c>
      <c r="R541" t="inlineStr">
        <is>
          <t xml:space="preserve">BF </t>
        </is>
      </c>
      <c r="S541" t="n">
        <v>2</v>
      </c>
      <c r="T541" t="n">
        <v>2</v>
      </c>
      <c r="U541" t="inlineStr">
        <is>
          <t>2003-10-05</t>
        </is>
      </c>
      <c r="V541" t="inlineStr">
        <is>
          <t>2003-10-05</t>
        </is>
      </c>
      <c r="W541" t="inlineStr">
        <is>
          <t>1996-07-29</t>
        </is>
      </c>
      <c r="X541" t="inlineStr">
        <is>
          <t>1996-07-29</t>
        </is>
      </c>
      <c r="Y541" t="n">
        <v>203</v>
      </c>
      <c r="Z541" t="n">
        <v>174</v>
      </c>
      <c r="AA541" t="n">
        <v>476</v>
      </c>
      <c r="AB541" t="n">
        <v>2</v>
      </c>
      <c r="AC541" t="n">
        <v>3</v>
      </c>
      <c r="AD541" t="n">
        <v>8</v>
      </c>
      <c r="AE541" t="n">
        <v>19</v>
      </c>
      <c r="AF541" t="n">
        <v>4</v>
      </c>
      <c r="AG541" t="n">
        <v>7</v>
      </c>
      <c r="AH541" t="n">
        <v>3</v>
      </c>
      <c r="AI541" t="n">
        <v>5</v>
      </c>
      <c r="AJ541" t="n">
        <v>2</v>
      </c>
      <c r="AK541" t="n">
        <v>8</v>
      </c>
      <c r="AL541" t="n">
        <v>1</v>
      </c>
      <c r="AM541" t="n">
        <v>2</v>
      </c>
      <c r="AN541" t="n">
        <v>0</v>
      </c>
      <c r="AO541" t="n">
        <v>0</v>
      </c>
      <c r="AP541" t="inlineStr">
        <is>
          <t>No</t>
        </is>
      </c>
      <c r="AQ541" t="inlineStr">
        <is>
          <t>No</t>
        </is>
      </c>
      <c r="AS541">
        <f>HYPERLINK("https://creighton-primo.hosted.exlibrisgroup.com/primo-explore/search?tab=default_tab&amp;search_scope=EVERYTHING&amp;vid=01CRU&amp;lang=en_US&amp;offset=0&amp;query=any,contains,991000730559702656","Catalog Record")</f>
        <v/>
      </c>
      <c r="AT541">
        <f>HYPERLINK("http://www.worldcat.org/oclc/128424","WorldCat Record")</f>
        <v/>
      </c>
      <c r="AU541" t="inlineStr">
        <is>
          <t>4919729667:eng</t>
        </is>
      </c>
      <c r="AV541" t="inlineStr">
        <is>
          <t>128424</t>
        </is>
      </c>
      <c r="AW541" t="inlineStr">
        <is>
          <t>991000730559702656</t>
        </is>
      </c>
      <c r="AX541" t="inlineStr">
        <is>
          <t>991000730559702656</t>
        </is>
      </c>
      <c r="AY541" t="inlineStr">
        <is>
          <t>2261698330002656</t>
        </is>
      </c>
      <c r="AZ541" t="inlineStr">
        <is>
          <t>BOOK</t>
        </is>
      </c>
      <c r="BB541" t="inlineStr">
        <is>
          <t>9780837128368</t>
        </is>
      </c>
      <c r="BC541" t="inlineStr">
        <is>
          <t>32285002248630</t>
        </is>
      </c>
      <c r="BD541" t="inlineStr">
        <is>
          <t>893683703</t>
        </is>
      </c>
    </row>
    <row r="542">
      <c r="A542" t="inlineStr">
        <is>
          <t>No</t>
        </is>
      </c>
      <c r="B542" t="inlineStr">
        <is>
          <t>BF431 .P47</t>
        </is>
      </c>
      <c r="C542" t="inlineStr">
        <is>
          <t>0                      BF 0431000P  47</t>
        </is>
      </c>
      <c r="D542" t="inlineStr">
        <is>
          <t>The origins of intellect : Piaget's theory / [by] John L. Phillips, Jr.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K542" t="inlineStr">
        <is>
          <t>Phillips, John L., 1923-</t>
        </is>
      </c>
      <c r="L542" t="inlineStr">
        <is>
          <t>San Francisco : W.H. Freeman, [1969]</t>
        </is>
      </c>
      <c r="M542" t="inlineStr">
        <is>
          <t>1969</t>
        </is>
      </c>
      <c r="O542" t="inlineStr">
        <is>
          <t>eng</t>
        </is>
      </c>
      <c r="P542" t="inlineStr">
        <is>
          <t>cau</t>
        </is>
      </c>
      <c r="Q542" t="inlineStr">
        <is>
          <t>A Series of books in psychology</t>
        </is>
      </c>
      <c r="R542" t="inlineStr">
        <is>
          <t xml:space="preserve">BF </t>
        </is>
      </c>
      <c r="S542" t="n">
        <v>1</v>
      </c>
      <c r="T542" t="n">
        <v>1</v>
      </c>
      <c r="U542" t="inlineStr">
        <is>
          <t>2000-10-11</t>
        </is>
      </c>
      <c r="V542" t="inlineStr">
        <is>
          <t>2000-10-11</t>
        </is>
      </c>
      <c r="W542" t="inlineStr">
        <is>
          <t>1995-04-26</t>
        </is>
      </c>
      <c r="X542" t="inlineStr">
        <is>
          <t>1995-04-26</t>
        </is>
      </c>
      <c r="Y542" t="n">
        <v>1206</v>
      </c>
      <c r="Z542" t="n">
        <v>987</v>
      </c>
      <c r="AA542" t="n">
        <v>1448</v>
      </c>
      <c r="AB542" t="n">
        <v>8</v>
      </c>
      <c r="AC542" t="n">
        <v>11</v>
      </c>
      <c r="AD542" t="n">
        <v>41</v>
      </c>
      <c r="AE542" t="n">
        <v>52</v>
      </c>
      <c r="AF542" t="n">
        <v>17</v>
      </c>
      <c r="AG542" t="n">
        <v>22</v>
      </c>
      <c r="AH542" t="n">
        <v>8</v>
      </c>
      <c r="AI542" t="n">
        <v>11</v>
      </c>
      <c r="AJ542" t="n">
        <v>18</v>
      </c>
      <c r="AK542" t="n">
        <v>23</v>
      </c>
      <c r="AL542" t="n">
        <v>5</v>
      </c>
      <c r="AM542" t="n">
        <v>8</v>
      </c>
      <c r="AN542" t="n">
        <v>0</v>
      </c>
      <c r="AO542" t="n">
        <v>0</v>
      </c>
      <c r="AP542" t="inlineStr">
        <is>
          <t>No</t>
        </is>
      </c>
      <c r="AQ542" t="inlineStr">
        <is>
          <t>Yes</t>
        </is>
      </c>
      <c r="AR542">
        <f>HYPERLINK("http://catalog.hathitrust.org/Record/000382428","HathiTrust Record")</f>
        <v/>
      </c>
      <c r="AS542">
        <f>HYPERLINK("https://creighton-primo.hosted.exlibrisgroup.com/primo-explore/search?tab=default_tab&amp;search_scope=EVERYTHING&amp;vid=01CRU&amp;lang=en_US&amp;offset=0&amp;query=any,contains,991000050619702656","Catalog Record")</f>
        <v/>
      </c>
      <c r="AT542">
        <f>HYPERLINK("http://www.worldcat.org/oclc/22788","WorldCat Record")</f>
        <v/>
      </c>
      <c r="AU542" t="inlineStr">
        <is>
          <t>199750073:eng</t>
        </is>
      </c>
      <c r="AV542" t="inlineStr">
        <is>
          <t>22788</t>
        </is>
      </c>
      <c r="AW542" t="inlineStr">
        <is>
          <t>991000050619702656</t>
        </is>
      </c>
      <c r="AX542" t="inlineStr">
        <is>
          <t>991000050619702656</t>
        </is>
      </c>
      <c r="AY542" t="inlineStr">
        <is>
          <t>2268307820002656</t>
        </is>
      </c>
      <c r="AZ542" t="inlineStr">
        <is>
          <t>BOOK</t>
        </is>
      </c>
      <c r="BC542" t="inlineStr">
        <is>
          <t>32285002029592</t>
        </is>
      </c>
      <c r="BD542" t="inlineStr">
        <is>
          <t>893720558</t>
        </is>
      </c>
    </row>
    <row r="543">
      <c r="A543" t="inlineStr">
        <is>
          <t>No</t>
        </is>
      </c>
      <c r="B543" t="inlineStr">
        <is>
          <t>BF431 .P48</t>
        </is>
      </c>
      <c r="C543" t="inlineStr">
        <is>
          <t>0                      BF 0431000P  48</t>
        </is>
      </c>
      <c r="D543" t="inlineStr">
        <is>
          <t>Changes in intelligence quotient, infancy to maturity; new insights from the Berkeley growth study, with implications for the Stanford-Binet scales, and application to professional practice.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Pinneau, Samuel R., Sr., 1922-</t>
        </is>
      </c>
      <c r="L543" t="inlineStr">
        <is>
          <t>Boston, Houghton Mifflin [1961]</t>
        </is>
      </c>
      <c r="M543" t="inlineStr">
        <is>
          <t>1961</t>
        </is>
      </c>
      <c r="O543" t="inlineStr">
        <is>
          <t>eng</t>
        </is>
      </c>
      <c r="P543" t="inlineStr">
        <is>
          <t>mau</t>
        </is>
      </c>
      <c r="Q543" t="inlineStr">
        <is>
          <t>Houghton Mifflin Company tests</t>
        </is>
      </c>
      <c r="R543" t="inlineStr">
        <is>
          <t xml:space="preserve">BF </t>
        </is>
      </c>
      <c r="S543" t="n">
        <v>1</v>
      </c>
      <c r="T543" t="n">
        <v>1</v>
      </c>
      <c r="U543" t="inlineStr">
        <is>
          <t>2001-11-24</t>
        </is>
      </c>
      <c r="V543" t="inlineStr">
        <is>
          <t>2001-11-24</t>
        </is>
      </c>
      <c r="W543" t="inlineStr">
        <is>
          <t>1996-07-29</t>
        </is>
      </c>
      <c r="X543" t="inlineStr">
        <is>
          <t>1996-07-29</t>
        </is>
      </c>
      <c r="Y543" t="n">
        <v>653</v>
      </c>
      <c r="Z543" t="n">
        <v>563</v>
      </c>
      <c r="AA543" t="n">
        <v>605</v>
      </c>
      <c r="AB543" t="n">
        <v>6</v>
      </c>
      <c r="AC543" t="n">
        <v>6</v>
      </c>
      <c r="AD543" t="n">
        <v>28</v>
      </c>
      <c r="AE543" t="n">
        <v>32</v>
      </c>
      <c r="AF543" t="n">
        <v>12</v>
      </c>
      <c r="AG543" t="n">
        <v>13</v>
      </c>
      <c r="AH543" t="n">
        <v>6</v>
      </c>
      <c r="AI543" t="n">
        <v>6</v>
      </c>
      <c r="AJ543" t="n">
        <v>13</v>
      </c>
      <c r="AK543" t="n">
        <v>16</v>
      </c>
      <c r="AL543" t="n">
        <v>5</v>
      </c>
      <c r="AM543" t="n">
        <v>5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R543">
        <f>HYPERLINK("http://catalog.hathitrust.org/Record/000357997","HathiTrust Record")</f>
        <v/>
      </c>
      <c r="AS543">
        <f>HYPERLINK("https://creighton-primo.hosted.exlibrisgroup.com/primo-explore/search?tab=default_tab&amp;search_scope=EVERYTHING&amp;vid=01CRU&amp;lang=en_US&amp;offset=0&amp;query=any,contains,991001370969702656","Catalog Record")</f>
        <v/>
      </c>
      <c r="AT543">
        <f>HYPERLINK("http://www.worldcat.org/oclc/14621672","WorldCat Record")</f>
        <v/>
      </c>
      <c r="AU543" t="inlineStr">
        <is>
          <t>497711006:eng</t>
        </is>
      </c>
      <c r="AV543" t="inlineStr">
        <is>
          <t>14621672</t>
        </is>
      </c>
      <c r="AW543" t="inlineStr">
        <is>
          <t>991001370969702656</t>
        </is>
      </c>
      <c r="AX543" t="inlineStr">
        <is>
          <t>991001370969702656</t>
        </is>
      </c>
      <c r="AY543" t="inlineStr">
        <is>
          <t>2264072330002656</t>
        </is>
      </c>
      <c r="AZ543" t="inlineStr">
        <is>
          <t>BOOK</t>
        </is>
      </c>
      <c r="BC543" t="inlineStr">
        <is>
          <t>32285002248648</t>
        </is>
      </c>
      <c r="BD543" t="inlineStr">
        <is>
          <t>893866181</t>
        </is>
      </c>
    </row>
    <row r="544">
      <c r="A544" t="inlineStr">
        <is>
          <t>No</t>
        </is>
      </c>
      <c r="B544" t="inlineStr">
        <is>
          <t>BF431 .P49</t>
        </is>
      </c>
      <c r="C544" t="inlineStr">
        <is>
          <t>0                      BF 0431000P  49</t>
        </is>
      </c>
      <c r="D544" t="inlineStr">
        <is>
          <t>Intelligence testing; methods and results, by Rudolf Pintner.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Yes</t>
        </is>
      </c>
      <c r="J544" t="inlineStr">
        <is>
          <t>0</t>
        </is>
      </c>
      <c r="K544" t="inlineStr">
        <is>
          <t>Pintner, Rudolf, 1884-1942.</t>
        </is>
      </c>
      <c r="L544" t="inlineStr">
        <is>
          <t>New York, H. Holt [c1923]</t>
        </is>
      </c>
      <c r="M544" t="inlineStr">
        <is>
          <t>1923</t>
        </is>
      </c>
      <c r="O544" t="inlineStr">
        <is>
          <t>eng</t>
        </is>
      </c>
      <c r="P544" t="inlineStr">
        <is>
          <t>nyu</t>
        </is>
      </c>
      <c r="R544" t="inlineStr">
        <is>
          <t xml:space="preserve">BF </t>
        </is>
      </c>
      <c r="S544" t="n">
        <v>1</v>
      </c>
      <c r="T544" t="n">
        <v>1</v>
      </c>
      <c r="U544" t="inlineStr">
        <is>
          <t>2002-09-29</t>
        </is>
      </c>
      <c r="V544" t="inlineStr">
        <is>
          <t>2002-09-29</t>
        </is>
      </c>
      <c r="W544" t="inlineStr">
        <is>
          <t>1996-07-29</t>
        </is>
      </c>
      <c r="X544" t="inlineStr">
        <is>
          <t>1996-07-29</t>
        </is>
      </c>
      <c r="Y544" t="n">
        <v>244</v>
      </c>
      <c r="Z544" t="n">
        <v>217</v>
      </c>
      <c r="AA544" t="n">
        <v>422</v>
      </c>
      <c r="AB544" t="n">
        <v>3</v>
      </c>
      <c r="AC544" t="n">
        <v>3</v>
      </c>
      <c r="AD544" t="n">
        <v>7</v>
      </c>
      <c r="AE544" t="n">
        <v>19</v>
      </c>
      <c r="AF544" t="n">
        <v>2</v>
      </c>
      <c r="AG544" t="n">
        <v>8</v>
      </c>
      <c r="AH544" t="n">
        <v>1</v>
      </c>
      <c r="AI544" t="n">
        <v>5</v>
      </c>
      <c r="AJ544" t="n">
        <v>3</v>
      </c>
      <c r="AK544" t="n">
        <v>9</v>
      </c>
      <c r="AL544" t="n">
        <v>2</v>
      </c>
      <c r="AM544" t="n">
        <v>2</v>
      </c>
      <c r="AN544" t="n">
        <v>0</v>
      </c>
      <c r="AO544" t="n">
        <v>0</v>
      </c>
      <c r="AP544" t="inlineStr">
        <is>
          <t>Yes</t>
        </is>
      </c>
      <c r="AQ544" t="inlineStr">
        <is>
          <t>No</t>
        </is>
      </c>
      <c r="AR544">
        <f>HYPERLINK("http://catalog.hathitrust.org/Record/006495743","HathiTrust Record")</f>
        <v/>
      </c>
      <c r="AS544">
        <f>HYPERLINK("https://creighton-primo.hosted.exlibrisgroup.com/primo-explore/search?tab=default_tab&amp;search_scope=EVERYTHING&amp;vid=01CRU&amp;lang=en_US&amp;offset=0&amp;query=any,contains,991001216359702656","Catalog Record")</f>
        <v/>
      </c>
      <c r="AT544">
        <f>HYPERLINK("http://www.worldcat.org/oclc/194220","WorldCat Record")</f>
        <v/>
      </c>
      <c r="AU544" t="inlineStr">
        <is>
          <t>1359015:eng</t>
        </is>
      </c>
      <c r="AV544" t="inlineStr">
        <is>
          <t>194220</t>
        </is>
      </c>
      <c r="AW544" t="inlineStr">
        <is>
          <t>991001216359702656</t>
        </is>
      </c>
      <c r="AX544" t="inlineStr">
        <is>
          <t>991001216359702656</t>
        </is>
      </c>
      <c r="AY544" t="inlineStr">
        <is>
          <t>2269385010002656</t>
        </is>
      </c>
      <c r="AZ544" t="inlineStr">
        <is>
          <t>BOOK</t>
        </is>
      </c>
      <c r="BC544" t="inlineStr">
        <is>
          <t>32285002248655</t>
        </is>
      </c>
      <c r="BD544" t="inlineStr">
        <is>
          <t>893503203</t>
        </is>
      </c>
    </row>
    <row r="545">
      <c r="A545" t="inlineStr">
        <is>
          <t>No</t>
        </is>
      </c>
      <c r="B545" t="inlineStr">
        <is>
          <t>BF431 .P49 1931</t>
        </is>
      </c>
      <c r="C545" t="inlineStr">
        <is>
          <t>0                      BF 0431000P  49          1931</t>
        </is>
      </c>
      <c r="D545" t="inlineStr">
        <is>
          <t>Intelligence testing; methods and results.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Yes</t>
        </is>
      </c>
      <c r="J545" t="inlineStr">
        <is>
          <t>0</t>
        </is>
      </c>
      <c r="K545" t="inlineStr">
        <is>
          <t>Pintner, Rudolf, 1884-1942.</t>
        </is>
      </c>
      <c r="L545" t="inlineStr">
        <is>
          <t>New York, Holt [c1931]</t>
        </is>
      </c>
      <c r="M545" t="inlineStr">
        <is>
          <t>1931</t>
        </is>
      </c>
      <c r="N545" t="inlineStr">
        <is>
          <t>New ed.</t>
        </is>
      </c>
      <c r="O545" t="inlineStr">
        <is>
          <t>eng</t>
        </is>
      </c>
      <c r="P545" t="inlineStr">
        <is>
          <t xml:space="preserve">xx </t>
        </is>
      </c>
      <c r="R545" t="inlineStr">
        <is>
          <t xml:space="preserve">BF </t>
        </is>
      </c>
      <c r="S545" t="n">
        <v>2</v>
      </c>
      <c r="T545" t="n">
        <v>2</v>
      </c>
      <c r="U545" t="inlineStr">
        <is>
          <t>2003-10-05</t>
        </is>
      </c>
      <c r="V545" t="inlineStr">
        <is>
          <t>2003-10-05</t>
        </is>
      </c>
      <c r="W545" t="inlineStr">
        <is>
          <t>1996-07-29</t>
        </is>
      </c>
      <c r="X545" t="inlineStr">
        <is>
          <t>1996-07-29</t>
        </is>
      </c>
      <c r="Y545" t="n">
        <v>266</v>
      </c>
      <c r="Z545" t="n">
        <v>244</v>
      </c>
      <c r="AA545" t="n">
        <v>422</v>
      </c>
      <c r="AB545" t="n">
        <v>2</v>
      </c>
      <c r="AC545" t="n">
        <v>3</v>
      </c>
      <c r="AD545" t="n">
        <v>13</v>
      </c>
      <c r="AE545" t="n">
        <v>19</v>
      </c>
      <c r="AF545" t="n">
        <v>6</v>
      </c>
      <c r="AG545" t="n">
        <v>8</v>
      </c>
      <c r="AH545" t="n">
        <v>2</v>
      </c>
      <c r="AI545" t="n">
        <v>5</v>
      </c>
      <c r="AJ545" t="n">
        <v>6</v>
      </c>
      <c r="AK545" t="n">
        <v>9</v>
      </c>
      <c r="AL545" t="n">
        <v>1</v>
      </c>
      <c r="AM545" t="n">
        <v>2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HYPERLINK("http://catalog.hathitrust.org/Record/001280926","HathiTrust Record")</f>
        <v/>
      </c>
      <c r="AS545">
        <f>HYPERLINK("https://creighton-primo.hosted.exlibrisgroup.com/primo-explore/search?tab=default_tab&amp;search_scope=EVERYTHING&amp;vid=01CRU&amp;lang=en_US&amp;offset=0&amp;query=any,contains,991000958229702656","Catalog Record")</f>
        <v/>
      </c>
      <c r="AT545">
        <f>HYPERLINK("http://www.worldcat.org/oclc/14737637","WorldCat Record")</f>
        <v/>
      </c>
      <c r="AU545" t="inlineStr">
        <is>
          <t>1359015:eng</t>
        </is>
      </c>
      <c r="AV545" t="inlineStr">
        <is>
          <t>14737637</t>
        </is>
      </c>
      <c r="AW545" t="inlineStr">
        <is>
          <t>991000958229702656</t>
        </is>
      </c>
      <c r="AX545" t="inlineStr">
        <is>
          <t>991000958229702656</t>
        </is>
      </c>
      <c r="AY545" t="inlineStr">
        <is>
          <t>2267710960002656</t>
        </is>
      </c>
      <c r="AZ545" t="inlineStr">
        <is>
          <t>BOOK</t>
        </is>
      </c>
      <c r="BC545" t="inlineStr">
        <is>
          <t>32285002248663</t>
        </is>
      </c>
      <c r="BD545" t="inlineStr">
        <is>
          <t>893897372</t>
        </is>
      </c>
    </row>
    <row r="546">
      <c r="A546" t="inlineStr">
        <is>
          <t>No</t>
        </is>
      </c>
      <c r="B546" t="inlineStr">
        <is>
          <t>BF431 .P67 1986</t>
        </is>
      </c>
      <c r="C546" t="inlineStr">
        <is>
          <t>0                      BF 0431000P  67          1986</t>
        </is>
      </c>
      <c r="D546" t="inlineStr">
        <is>
          <t>Practical intelligence : nature and origins of competence in the everyday world / edited by Robert J. Sternberg and Richard K. Wagner.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L546" t="inlineStr">
        <is>
          <t>Cambridge [Cambridgeshire] ; New York : Cambridge University Press, 1986.</t>
        </is>
      </c>
      <c r="M546" t="inlineStr">
        <is>
          <t>1986</t>
        </is>
      </c>
      <c r="O546" t="inlineStr">
        <is>
          <t>eng</t>
        </is>
      </c>
      <c r="P546" t="inlineStr">
        <is>
          <t>enk</t>
        </is>
      </c>
      <c r="R546" t="inlineStr">
        <is>
          <t xml:space="preserve">BF </t>
        </is>
      </c>
      <c r="S546" t="n">
        <v>7</v>
      </c>
      <c r="T546" t="n">
        <v>7</v>
      </c>
      <c r="U546" t="inlineStr">
        <is>
          <t>2000-08-22</t>
        </is>
      </c>
      <c r="V546" t="inlineStr">
        <is>
          <t>2000-08-22</t>
        </is>
      </c>
      <c r="W546" t="inlineStr">
        <is>
          <t>1993-03-29</t>
        </is>
      </c>
      <c r="X546" t="inlineStr">
        <is>
          <t>1993-03-29</t>
        </is>
      </c>
      <c r="Y546" t="n">
        <v>885</v>
      </c>
      <c r="Z546" t="n">
        <v>682</v>
      </c>
      <c r="AA546" t="n">
        <v>688</v>
      </c>
      <c r="AB546" t="n">
        <v>6</v>
      </c>
      <c r="AC546" t="n">
        <v>6</v>
      </c>
      <c r="AD546" t="n">
        <v>35</v>
      </c>
      <c r="AE546" t="n">
        <v>35</v>
      </c>
      <c r="AF546" t="n">
        <v>15</v>
      </c>
      <c r="AG546" t="n">
        <v>15</v>
      </c>
      <c r="AH546" t="n">
        <v>6</v>
      </c>
      <c r="AI546" t="n">
        <v>6</v>
      </c>
      <c r="AJ546" t="n">
        <v>18</v>
      </c>
      <c r="AK546" t="n">
        <v>18</v>
      </c>
      <c r="AL546" t="n">
        <v>5</v>
      </c>
      <c r="AM546" t="n">
        <v>5</v>
      </c>
      <c r="AN546" t="n">
        <v>0</v>
      </c>
      <c r="AO546" t="n">
        <v>0</v>
      </c>
      <c r="AP546" t="inlineStr">
        <is>
          <t>No</t>
        </is>
      </c>
      <c r="AQ546" t="inlineStr">
        <is>
          <t>No</t>
        </is>
      </c>
      <c r="AS546">
        <f>HYPERLINK("https://creighton-primo.hosted.exlibrisgroup.com/primo-explore/search?tab=default_tab&amp;search_scope=EVERYTHING&amp;vid=01CRU&amp;lang=en_US&amp;offset=0&amp;query=any,contains,991000762539702656","Catalog Record")</f>
        <v/>
      </c>
      <c r="AT546">
        <f>HYPERLINK("http://www.worldcat.org/oclc/12974798","WorldCat Record")</f>
        <v/>
      </c>
      <c r="AU546" t="inlineStr">
        <is>
          <t>827482399:eng</t>
        </is>
      </c>
      <c r="AV546" t="inlineStr">
        <is>
          <t>12974798</t>
        </is>
      </c>
      <c r="AW546" t="inlineStr">
        <is>
          <t>991000762539702656</t>
        </is>
      </c>
      <c r="AX546" t="inlineStr">
        <is>
          <t>991000762539702656</t>
        </is>
      </c>
      <c r="AY546" t="inlineStr">
        <is>
          <t>2262499680002656</t>
        </is>
      </c>
      <c r="AZ546" t="inlineStr">
        <is>
          <t>BOOK</t>
        </is>
      </c>
      <c r="BB546" t="inlineStr">
        <is>
          <t>9780521317979</t>
        </is>
      </c>
      <c r="BC546" t="inlineStr">
        <is>
          <t>32285001592178</t>
        </is>
      </c>
      <c r="BD546" t="inlineStr">
        <is>
          <t>893884735</t>
        </is>
      </c>
    </row>
    <row r="547">
      <c r="A547" t="inlineStr">
        <is>
          <t>No</t>
        </is>
      </c>
      <c r="B547" t="inlineStr">
        <is>
          <t>BF431 .R52</t>
        </is>
      </c>
      <c r="C547" t="inlineStr">
        <is>
          <t>0                      BF 0431000R  52</t>
        </is>
      </c>
      <c r="D547" t="inlineStr">
        <is>
          <t>Assessment of individual mental ability / [by] George P. Robb, L. C. Bernardoni [and] Ray W. Johnson.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Robb, George Paul, 1922-</t>
        </is>
      </c>
      <c r="L547" t="inlineStr">
        <is>
          <t>Scranton : Intext Educational Publishers, [1972]</t>
        </is>
      </c>
      <c r="M547" t="inlineStr">
        <is>
          <t>1972</t>
        </is>
      </c>
      <c r="O547" t="inlineStr">
        <is>
          <t>eng</t>
        </is>
      </c>
      <c r="P547" t="inlineStr">
        <is>
          <t>pau</t>
        </is>
      </c>
      <c r="Q547" t="inlineStr">
        <is>
          <t>Intext series in psychological assessment</t>
        </is>
      </c>
      <c r="R547" t="inlineStr">
        <is>
          <t xml:space="preserve">BF </t>
        </is>
      </c>
      <c r="S547" t="n">
        <v>4</v>
      </c>
      <c r="T547" t="n">
        <v>4</v>
      </c>
      <c r="U547" t="inlineStr">
        <is>
          <t>1997-03-13</t>
        </is>
      </c>
      <c r="V547" t="inlineStr">
        <is>
          <t>1997-03-13</t>
        </is>
      </c>
      <c r="W547" t="inlineStr">
        <is>
          <t>1994-12-14</t>
        </is>
      </c>
      <c r="X547" t="inlineStr">
        <is>
          <t>1994-12-14</t>
        </is>
      </c>
      <c r="Y547" t="n">
        <v>292</v>
      </c>
      <c r="Z547" t="n">
        <v>252</v>
      </c>
      <c r="AA547" t="n">
        <v>255</v>
      </c>
      <c r="AB547" t="n">
        <v>3</v>
      </c>
      <c r="AC547" t="n">
        <v>3</v>
      </c>
      <c r="AD547" t="n">
        <v>13</v>
      </c>
      <c r="AE547" t="n">
        <v>13</v>
      </c>
      <c r="AF547" t="n">
        <v>7</v>
      </c>
      <c r="AG547" t="n">
        <v>7</v>
      </c>
      <c r="AH547" t="n">
        <v>1</v>
      </c>
      <c r="AI547" t="n">
        <v>1</v>
      </c>
      <c r="AJ547" t="n">
        <v>5</v>
      </c>
      <c r="AK547" t="n">
        <v>5</v>
      </c>
      <c r="AL547" t="n">
        <v>2</v>
      </c>
      <c r="AM547" t="n">
        <v>2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HYPERLINK("http://catalog.hathitrust.org/Record/009062900","HathiTrust Record")</f>
        <v/>
      </c>
      <c r="AS547">
        <f>HYPERLINK("https://creighton-primo.hosted.exlibrisgroup.com/primo-explore/search?tab=default_tab&amp;search_scope=EVERYTHING&amp;vid=01CRU&amp;lang=en_US&amp;offset=0&amp;query=any,contains,991002144649702656","Catalog Record")</f>
        <v/>
      </c>
      <c r="AT547">
        <f>HYPERLINK("http://www.worldcat.org/oclc/271296","WorldCat Record")</f>
        <v/>
      </c>
      <c r="AU547" t="inlineStr">
        <is>
          <t>1399929:eng</t>
        </is>
      </c>
      <c r="AV547" t="inlineStr">
        <is>
          <t>271296</t>
        </is>
      </c>
      <c r="AW547" t="inlineStr">
        <is>
          <t>991002144649702656</t>
        </is>
      </c>
      <c r="AX547" t="inlineStr">
        <is>
          <t>991002144649702656</t>
        </is>
      </c>
      <c r="AY547" t="inlineStr">
        <is>
          <t>2261921680002656</t>
        </is>
      </c>
      <c r="AZ547" t="inlineStr">
        <is>
          <t>BOOK</t>
        </is>
      </c>
      <c r="BB547" t="inlineStr">
        <is>
          <t>9780700223572</t>
        </is>
      </c>
      <c r="BC547" t="inlineStr">
        <is>
          <t>32285001982775</t>
        </is>
      </c>
      <c r="BD547" t="inlineStr">
        <is>
          <t>893609512</t>
        </is>
      </c>
    </row>
    <row r="548">
      <c r="A548" t="inlineStr">
        <is>
          <t>No</t>
        </is>
      </c>
      <c r="B548" t="inlineStr">
        <is>
          <t>BF431 .R675</t>
        </is>
      </c>
      <c r="C548" t="inlineStr">
        <is>
          <t>0                      BF 0431000R  675</t>
        </is>
      </c>
      <c r="D548" t="inlineStr">
        <is>
          <t>Understanding intellectual development : three approaches to theory and practice / William D. Rohwer, Jr., Paul R. Ammon, Phebe Cramer.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Rohwer, William D.</t>
        </is>
      </c>
      <c r="L548" t="inlineStr">
        <is>
          <t>Hinsdale, Ill. : Dryden Press, c1974.</t>
        </is>
      </c>
      <c r="M548" t="inlineStr">
        <is>
          <t>1974</t>
        </is>
      </c>
      <c r="O548" t="inlineStr">
        <is>
          <t>eng</t>
        </is>
      </c>
      <c r="P548" t="inlineStr">
        <is>
          <t>ilu</t>
        </is>
      </c>
      <c r="R548" t="inlineStr">
        <is>
          <t xml:space="preserve">BF </t>
        </is>
      </c>
      <c r="S548" t="n">
        <v>3</v>
      </c>
      <c r="T548" t="n">
        <v>3</v>
      </c>
      <c r="U548" t="inlineStr">
        <is>
          <t>1996-03-22</t>
        </is>
      </c>
      <c r="V548" t="inlineStr">
        <is>
          <t>1996-03-22</t>
        </is>
      </c>
      <c r="W548" t="inlineStr">
        <is>
          <t>1992-10-30</t>
        </is>
      </c>
      <c r="X548" t="inlineStr">
        <is>
          <t>1992-10-30</t>
        </is>
      </c>
      <c r="Y548" t="n">
        <v>413</v>
      </c>
      <c r="Z548" t="n">
        <v>273</v>
      </c>
      <c r="AA548" t="n">
        <v>280</v>
      </c>
      <c r="AB548" t="n">
        <v>3</v>
      </c>
      <c r="AC548" t="n">
        <v>3</v>
      </c>
      <c r="AD548" t="n">
        <v>14</v>
      </c>
      <c r="AE548" t="n">
        <v>14</v>
      </c>
      <c r="AF548" t="n">
        <v>3</v>
      </c>
      <c r="AG548" t="n">
        <v>3</v>
      </c>
      <c r="AH548" t="n">
        <v>4</v>
      </c>
      <c r="AI548" t="n">
        <v>4</v>
      </c>
      <c r="AJ548" t="n">
        <v>7</v>
      </c>
      <c r="AK548" t="n">
        <v>7</v>
      </c>
      <c r="AL548" t="n">
        <v>2</v>
      </c>
      <c r="AM548" t="n">
        <v>2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HYPERLINK("http://catalog.hathitrust.org/Record/000358265","HathiTrust Record")</f>
        <v/>
      </c>
      <c r="AS548">
        <f>HYPERLINK("https://creighton-primo.hosted.exlibrisgroup.com/primo-explore/search?tab=default_tab&amp;search_scope=EVERYTHING&amp;vid=01CRU&amp;lang=en_US&amp;offset=0&amp;query=any,contains,991003497229702656","Catalog Record")</f>
        <v/>
      </c>
      <c r="AT548">
        <f>HYPERLINK("http://www.worldcat.org/oclc/1047986","WorldCat Record")</f>
        <v/>
      </c>
      <c r="AU548" t="inlineStr">
        <is>
          <t>821655569:eng</t>
        </is>
      </c>
      <c r="AV548" t="inlineStr">
        <is>
          <t>1047986</t>
        </is>
      </c>
      <c r="AW548" t="inlineStr">
        <is>
          <t>991003497229702656</t>
        </is>
      </c>
      <c r="AX548" t="inlineStr">
        <is>
          <t>991003497229702656</t>
        </is>
      </c>
      <c r="AY548" t="inlineStr">
        <is>
          <t>2267737990002656</t>
        </is>
      </c>
      <c r="AZ548" t="inlineStr">
        <is>
          <t>BOOK</t>
        </is>
      </c>
      <c r="BB548" t="inlineStr">
        <is>
          <t>9780030890284</t>
        </is>
      </c>
      <c r="BC548" t="inlineStr">
        <is>
          <t>32285001387348</t>
        </is>
      </c>
      <c r="BD548" t="inlineStr">
        <is>
          <t>893512004</t>
        </is>
      </c>
    </row>
    <row r="549">
      <c r="A549" t="inlineStr">
        <is>
          <t>No</t>
        </is>
      </c>
      <c r="B549" t="inlineStr">
        <is>
          <t>BF431 .S715 1974</t>
        </is>
      </c>
      <c r="C549" t="inlineStr">
        <is>
          <t>0                      BF 0431000S  715         1974</t>
        </is>
      </c>
      <c r="D549" t="inlineStr">
        <is>
          <t>The evolution of intelligence; a general theory and some of its implications.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Stenhouse, David.</t>
        </is>
      </c>
      <c r="L549" t="inlineStr">
        <is>
          <t>New York, Barnes &amp; Noble Books [1974]</t>
        </is>
      </c>
      <c r="M549" t="inlineStr">
        <is>
          <t>1974</t>
        </is>
      </c>
      <c r="O549" t="inlineStr">
        <is>
          <t>eng</t>
        </is>
      </c>
      <c r="P549" t="inlineStr">
        <is>
          <t>nyu</t>
        </is>
      </c>
      <c r="R549" t="inlineStr">
        <is>
          <t xml:space="preserve">BF </t>
        </is>
      </c>
      <c r="S549" t="n">
        <v>5</v>
      </c>
      <c r="T549" t="n">
        <v>5</v>
      </c>
      <c r="U549" t="inlineStr">
        <is>
          <t>1995-03-20</t>
        </is>
      </c>
      <c r="V549" t="inlineStr">
        <is>
          <t>1995-03-20</t>
        </is>
      </c>
      <c r="W549" t="inlineStr">
        <is>
          <t>1992-11-06</t>
        </is>
      </c>
      <c r="X549" t="inlineStr">
        <is>
          <t>1992-11-06</t>
        </is>
      </c>
      <c r="Y549" t="n">
        <v>256</v>
      </c>
      <c r="Z549" t="n">
        <v>239</v>
      </c>
      <c r="AA549" t="n">
        <v>362</v>
      </c>
      <c r="AB549" t="n">
        <v>1</v>
      </c>
      <c r="AC549" t="n">
        <v>3</v>
      </c>
      <c r="AD549" t="n">
        <v>8</v>
      </c>
      <c r="AE549" t="n">
        <v>15</v>
      </c>
      <c r="AF549" t="n">
        <v>2</v>
      </c>
      <c r="AG549" t="n">
        <v>2</v>
      </c>
      <c r="AH549" t="n">
        <v>2</v>
      </c>
      <c r="AI549" t="n">
        <v>5</v>
      </c>
      <c r="AJ549" t="n">
        <v>5</v>
      </c>
      <c r="AK549" t="n">
        <v>9</v>
      </c>
      <c r="AL549" t="n">
        <v>0</v>
      </c>
      <c r="AM549" t="n">
        <v>2</v>
      </c>
      <c r="AN549" t="n">
        <v>0</v>
      </c>
      <c r="AO549" t="n">
        <v>0</v>
      </c>
      <c r="AP549" t="inlineStr">
        <is>
          <t>No</t>
        </is>
      </c>
      <c r="AQ549" t="inlineStr">
        <is>
          <t>Yes</t>
        </is>
      </c>
      <c r="AR549">
        <f>HYPERLINK("http://catalog.hathitrust.org/Record/007135174","HathiTrust Record")</f>
        <v/>
      </c>
      <c r="AS549">
        <f>HYPERLINK("https://creighton-primo.hosted.exlibrisgroup.com/primo-explore/search?tab=default_tab&amp;search_scope=EVERYTHING&amp;vid=01CRU&amp;lang=en_US&amp;offset=0&amp;query=any,contains,991003506189702656","Catalog Record")</f>
        <v/>
      </c>
      <c r="AT549">
        <f>HYPERLINK("http://www.worldcat.org/oclc/1057540","WorldCat Record")</f>
        <v/>
      </c>
      <c r="AU549" t="inlineStr">
        <is>
          <t>3922818109:eng</t>
        </is>
      </c>
      <c r="AV549" t="inlineStr">
        <is>
          <t>1057540</t>
        </is>
      </c>
      <c r="AW549" t="inlineStr">
        <is>
          <t>991003506189702656</t>
        </is>
      </c>
      <c r="AX549" t="inlineStr">
        <is>
          <t>991003506189702656</t>
        </is>
      </c>
      <c r="AY549" t="inlineStr">
        <is>
          <t>2270969130002656</t>
        </is>
      </c>
      <c r="AZ549" t="inlineStr">
        <is>
          <t>BOOK</t>
        </is>
      </c>
      <c r="BB549" t="inlineStr">
        <is>
          <t>9780064965187</t>
        </is>
      </c>
      <c r="BC549" t="inlineStr">
        <is>
          <t>32285001387355</t>
        </is>
      </c>
      <c r="BD549" t="inlineStr">
        <is>
          <t>893330356</t>
        </is>
      </c>
    </row>
    <row r="550">
      <c r="A550" t="inlineStr">
        <is>
          <t>No</t>
        </is>
      </c>
      <c r="B550" t="inlineStr">
        <is>
          <t>BF431 .S745</t>
        </is>
      </c>
      <c r="C550" t="inlineStr">
        <is>
          <t>0                      BF 0431000S  745</t>
        </is>
      </c>
      <c r="D550" t="inlineStr">
        <is>
          <t>The meaning of intelligence / by George D. Stoddard.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Stoddard, George D. (George Dinsmore), 1897-1981.</t>
        </is>
      </c>
      <c r="L550" t="inlineStr">
        <is>
          <t>New York : Macmillan, 1943.</t>
        </is>
      </c>
      <c r="M550" t="inlineStr">
        <is>
          <t>1943</t>
        </is>
      </c>
      <c r="O550" t="inlineStr">
        <is>
          <t>eng</t>
        </is>
      </c>
      <c r="P550" t="inlineStr">
        <is>
          <t>nyu</t>
        </is>
      </c>
      <c r="R550" t="inlineStr">
        <is>
          <t xml:space="preserve">BF </t>
        </is>
      </c>
      <c r="S550" t="n">
        <v>2</v>
      </c>
      <c r="T550" t="n">
        <v>2</v>
      </c>
      <c r="U550" t="inlineStr">
        <is>
          <t>2000-10-05</t>
        </is>
      </c>
      <c r="V550" t="inlineStr">
        <is>
          <t>2000-10-05</t>
        </is>
      </c>
      <c r="W550" t="inlineStr">
        <is>
          <t>1993-02-10</t>
        </is>
      </c>
      <c r="X550" t="inlineStr">
        <is>
          <t>1993-02-10</t>
        </is>
      </c>
      <c r="Y550" t="n">
        <v>517</v>
      </c>
      <c r="Z550" t="n">
        <v>457</v>
      </c>
      <c r="AA550" t="n">
        <v>508</v>
      </c>
      <c r="AB550" t="n">
        <v>4</v>
      </c>
      <c r="AC550" t="n">
        <v>4</v>
      </c>
      <c r="AD550" t="n">
        <v>20</v>
      </c>
      <c r="AE550" t="n">
        <v>21</v>
      </c>
      <c r="AF550" t="n">
        <v>7</v>
      </c>
      <c r="AG550" t="n">
        <v>8</v>
      </c>
      <c r="AH550" t="n">
        <v>4</v>
      </c>
      <c r="AI550" t="n">
        <v>4</v>
      </c>
      <c r="AJ550" t="n">
        <v>10</v>
      </c>
      <c r="AK550" t="n">
        <v>10</v>
      </c>
      <c r="AL550" t="n">
        <v>3</v>
      </c>
      <c r="AM550" t="n">
        <v>3</v>
      </c>
      <c r="AN550" t="n">
        <v>0</v>
      </c>
      <c r="AO550" t="n">
        <v>0</v>
      </c>
      <c r="AP550" t="inlineStr">
        <is>
          <t>Yes</t>
        </is>
      </c>
      <c r="AQ550" t="inlineStr">
        <is>
          <t>No</t>
        </is>
      </c>
      <c r="AR550">
        <f>HYPERLINK("http://catalog.hathitrust.org/Record/000384409","HathiTrust Record")</f>
        <v/>
      </c>
      <c r="AS550">
        <f>HYPERLINK("https://creighton-primo.hosted.exlibrisgroup.com/primo-explore/search?tab=default_tab&amp;search_scope=EVERYTHING&amp;vid=01CRU&amp;lang=en_US&amp;offset=0&amp;query=any,contains,991003487099702656","Catalog Record")</f>
        <v/>
      </c>
      <c r="AT550">
        <f>HYPERLINK("http://www.worldcat.org/oclc/1034648","WorldCat Record")</f>
        <v/>
      </c>
      <c r="AU550" t="inlineStr">
        <is>
          <t>4925891162:eng</t>
        </is>
      </c>
      <c r="AV550" t="inlineStr">
        <is>
          <t>1034648</t>
        </is>
      </c>
      <c r="AW550" t="inlineStr">
        <is>
          <t>991003487099702656</t>
        </is>
      </c>
      <c r="AX550" t="inlineStr">
        <is>
          <t>991003487099702656</t>
        </is>
      </c>
      <c r="AY550" t="inlineStr">
        <is>
          <t>2266738590002656</t>
        </is>
      </c>
      <c r="AZ550" t="inlineStr">
        <is>
          <t>BOOK</t>
        </is>
      </c>
      <c r="BC550" t="inlineStr">
        <is>
          <t>32285001509370</t>
        </is>
      </c>
      <c r="BD550" t="inlineStr">
        <is>
          <t>893699037</t>
        </is>
      </c>
    </row>
    <row r="551">
      <c r="A551" t="inlineStr">
        <is>
          <t>No</t>
        </is>
      </c>
      <c r="B551" t="inlineStr">
        <is>
          <t>BF431 .T2523</t>
        </is>
      </c>
      <c r="C551" t="inlineStr">
        <is>
          <t>0                      BF 0431000T  2523</t>
        </is>
      </c>
      <c r="D551" t="inlineStr">
        <is>
          <t>The IQ game : a methodological inquiry into the heredity-environment controversy / Howard F. Taylor.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Taylor, Howard Francis, 1939-</t>
        </is>
      </c>
      <c r="L551" t="inlineStr">
        <is>
          <t>New Brunswick, N.J. : Rutgers University Press, c1980.</t>
        </is>
      </c>
      <c r="M551" t="inlineStr">
        <is>
          <t>1980</t>
        </is>
      </c>
      <c r="O551" t="inlineStr">
        <is>
          <t>eng</t>
        </is>
      </c>
      <c r="P551" t="inlineStr">
        <is>
          <t>nju</t>
        </is>
      </c>
      <c r="R551" t="inlineStr">
        <is>
          <t xml:space="preserve">BF </t>
        </is>
      </c>
      <c r="S551" t="n">
        <v>12</v>
      </c>
      <c r="T551" t="n">
        <v>12</v>
      </c>
      <c r="U551" t="inlineStr">
        <is>
          <t>1998-10-03</t>
        </is>
      </c>
      <c r="V551" t="inlineStr">
        <is>
          <t>1998-10-03</t>
        </is>
      </c>
      <c r="W551" t="inlineStr">
        <is>
          <t>1992-11-10</t>
        </is>
      </c>
      <c r="X551" t="inlineStr">
        <is>
          <t>1992-11-10</t>
        </is>
      </c>
      <c r="Y551" t="n">
        <v>543</v>
      </c>
      <c r="Z551" t="n">
        <v>479</v>
      </c>
      <c r="AA551" t="n">
        <v>480</v>
      </c>
      <c r="AB551" t="n">
        <v>2</v>
      </c>
      <c r="AC551" t="n">
        <v>2</v>
      </c>
      <c r="AD551" t="n">
        <v>18</v>
      </c>
      <c r="AE551" t="n">
        <v>18</v>
      </c>
      <c r="AF551" t="n">
        <v>5</v>
      </c>
      <c r="AG551" t="n">
        <v>5</v>
      </c>
      <c r="AH551" t="n">
        <v>7</v>
      </c>
      <c r="AI551" t="n">
        <v>7</v>
      </c>
      <c r="AJ551" t="n">
        <v>9</v>
      </c>
      <c r="AK551" t="n">
        <v>9</v>
      </c>
      <c r="AL551" t="n">
        <v>1</v>
      </c>
      <c r="AM551" t="n">
        <v>1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HYPERLINK("http://catalog.hathitrust.org/Record/000735127","HathiTrust Record")</f>
        <v/>
      </c>
      <c r="AS551">
        <f>HYPERLINK("https://creighton-primo.hosted.exlibrisgroup.com/primo-explore/search?tab=default_tab&amp;search_scope=EVERYTHING&amp;vid=01CRU&amp;lang=en_US&amp;offset=0&amp;query=any,contains,991004947989702656","Catalog Record")</f>
        <v/>
      </c>
      <c r="AT551">
        <f>HYPERLINK("http://www.worldcat.org/oclc/6223048","WorldCat Record")</f>
        <v/>
      </c>
      <c r="AU551" t="inlineStr">
        <is>
          <t>474577:eng</t>
        </is>
      </c>
      <c r="AV551" t="inlineStr">
        <is>
          <t>6223048</t>
        </is>
      </c>
      <c r="AW551" t="inlineStr">
        <is>
          <t>991004947989702656</t>
        </is>
      </c>
      <c r="AX551" t="inlineStr">
        <is>
          <t>991004947989702656</t>
        </is>
      </c>
      <c r="AY551" t="inlineStr">
        <is>
          <t>2268380370002656</t>
        </is>
      </c>
      <c r="AZ551" t="inlineStr">
        <is>
          <t>BOOK</t>
        </is>
      </c>
      <c r="BB551" t="inlineStr">
        <is>
          <t>9780813509020</t>
        </is>
      </c>
      <c r="BC551" t="inlineStr">
        <is>
          <t>32285001384428</t>
        </is>
      </c>
      <c r="BD551" t="inlineStr">
        <is>
          <t>893263524</t>
        </is>
      </c>
    </row>
    <row r="552">
      <c r="A552" t="inlineStr">
        <is>
          <t>No</t>
        </is>
      </c>
      <c r="B552" t="inlineStr">
        <is>
          <t>BF431 .V513 1960</t>
        </is>
      </c>
      <c r="C552" t="inlineStr">
        <is>
          <t>0                      BF 0431000V  513         1960</t>
        </is>
      </c>
      <c r="D552" t="inlineStr">
        <is>
          <t>Intelligence, its evolution and forms / [translated by A. J. Pomerans]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Viaud, Gaston, 1899-</t>
        </is>
      </c>
      <c r="L552" t="inlineStr">
        <is>
          <t>New York : Harper, [1960]</t>
        </is>
      </c>
      <c r="M552" t="inlineStr">
        <is>
          <t>1960</t>
        </is>
      </c>
      <c r="O552" t="inlineStr">
        <is>
          <t>eng</t>
        </is>
      </c>
      <c r="P552" t="inlineStr">
        <is>
          <t>nyu</t>
        </is>
      </c>
      <c r="Q552" t="inlineStr">
        <is>
          <t>Science today series ; ST1</t>
        </is>
      </c>
      <c r="R552" t="inlineStr">
        <is>
          <t xml:space="preserve">BF </t>
        </is>
      </c>
      <c r="S552" t="n">
        <v>4</v>
      </c>
      <c r="T552" t="n">
        <v>4</v>
      </c>
      <c r="U552" t="inlineStr">
        <is>
          <t>2002-10-24</t>
        </is>
      </c>
      <c r="V552" t="inlineStr">
        <is>
          <t>2002-10-24</t>
        </is>
      </c>
      <c r="W552" t="inlineStr">
        <is>
          <t>1995-02-28</t>
        </is>
      </c>
      <c r="X552" t="inlineStr">
        <is>
          <t>1995-02-28</t>
        </is>
      </c>
      <c r="Y552" t="n">
        <v>372</v>
      </c>
      <c r="Z552" t="n">
        <v>351</v>
      </c>
      <c r="AA552" t="n">
        <v>359</v>
      </c>
      <c r="AB552" t="n">
        <v>3</v>
      </c>
      <c r="AC552" t="n">
        <v>3</v>
      </c>
      <c r="AD552" t="n">
        <v>15</v>
      </c>
      <c r="AE552" t="n">
        <v>15</v>
      </c>
      <c r="AF552" t="n">
        <v>5</v>
      </c>
      <c r="AG552" t="n">
        <v>5</v>
      </c>
      <c r="AH552" t="n">
        <v>2</v>
      </c>
      <c r="AI552" t="n">
        <v>2</v>
      </c>
      <c r="AJ552" t="n">
        <v>10</v>
      </c>
      <c r="AK552" t="n">
        <v>10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HYPERLINK("http://catalog.hathitrust.org/Record/000358018","HathiTrust Record")</f>
        <v/>
      </c>
      <c r="AS552">
        <f>HYPERLINK("https://creighton-primo.hosted.exlibrisgroup.com/primo-explore/search?tab=default_tab&amp;search_scope=EVERYTHING&amp;vid=01CRU&amp;lang=en_US&amp;offset=0&amp;query=any,contains,991002257879702656","Catalog Record")</f>
        <v/>
      </c>
      <c r="AT552">
        <f>HYPERLINK("http://www.worldcat.org/oclc/302536","WorldCat Record")</f>
        <v/>
      </c>
      <c r="AU552" t="inlineStr">
        <is>
          <t>365803839:eng</t>
        </is>
      </c>
      <c r="AV552" t="inlineStr">
        <is>
          <t>302536</t>
        </is>
      </c>
      <c r="AW552" t="inlineStr">
        <is>
          <t>991002257879702656</t>
        </is>
      </c>
      <c r="AX552" t="inlineStr">
        <is>
          <t>991002257879702656</t>
        </is>
      </c>
      <c r="AY552" t="inlineStr">
        <is>
          <t>2271981780002656</t>
        </is>
      </c>
      <c r="AZ552" t="inlineStr">
        <is>
          <t>BOOK</t>
        </is>
      </c>
      <c r="BC552" t="inlineStr">
        <is>
          <t>32285001779759</t>
        </is>
      </c>
      <c r="BD552" t="inlineStr">
        <is>
          <t>893703873</t>
        </is>
      </c>
    </row>
    <row r="553">
      <c r="A553" t="inlineStr">
        <is>
          <t>No</t>
        </is>
      </c>
      <c r="B553" t="inlineStr">
        <is>
          <t>BF431 .W35 1972</t>
        </is>
      </c>
      <c r="C553" t="inlineStr">
        <is>
          <t>0                      BF 0431000W  35          1972</t>
        </is>
      </c>
      <c r="D553" t="inlineStr">
        <is>
          <t>Wechsler's Measurement and appraisal of adult intelligence [by] Joseph D. Matarazzo.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Wechsler, David, 1896-1981.</t>
        </is>
      </c>
      <c r="L553" t="inlineStr">
        <is>
          <t>Baltimore, Williams &amp; Wilkins [1972]</t>
        </is>
      </c>
      <c r="M553" t="inlineStr">
        <is>
          <t>1972</t>
        </is>
      </c>
      <c r="N553" t="inlineStr">
        <is>
          <t>5th and enl. ed.</t>
        </is>
      </c>
      <c r="O553" t="inlineStr">
        <is>
          <t>eng</t>
        </is>
      </c>
      <c r="P553" t="inlineStr">
        <is>
          <t>mdu</t>
        </is>
      </c>
      <c r="R553" t="inlineStr">
        <is>
          <t xml:space="preserve">BF </t>
        </is>
      </c>
      <c r="S553" t="n">
        <v>4</v>
      </c>
      <c r="T553" t="n">
        <v>4</v>
      </c>
      <c r="U553" t="inlineStr">
        <is>
          <t>2001-11-18</t>
        </is>
      </c>
      <c r="V553" t="inlineStr">
        <is>
          <t>2001-11-18</t>
        </is>
      </c>
      <c r="W553" t="inlineStr">
        <is>
          <t>1996-07-30</t>
        </is>
      </c>
      <c r="X553" t="inlineStr">
        <is>
          <t>1996-07-30</t>
        </is>
      </c>
      <c r="Y553" t="n">
        <v>835</v>
      </c>
      <c r="Z553" t="n">
        <v>698</v>
      </c>
      <c r="AA553" t="n">
        <v>810</v>
      </c>
      <c r="AB553" t="n">
        <v>6</v>
      </c>
      <c r="AC553" t="n">
        <v>6</v>
      </c>
      <c r="AD553" t="n">
        <v>24</v>
      </c>
      <c r="AE553" t="n">
        <v>28</v>
      </c>
      <c r="AF553" t="n">
        <v>9</v>
      </c>
      <c r="AG553" t="n">
        <v>12</v>
      </c>
      <c r="AH553" t="n">
        <v>5</v>
      </c>
      <c r="AI553" t="n">
        <v>5</v>
      </c>
      <c r="AJ553" t="n">
        <v>13</v>
      </c>
      <c r="AK553" t="n">
        <v>15</v>
      </c>
      <c r="AL553" t="n">
        <v>2</v>
      </c>
      <c r="AM553" t="n">
        <v>2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HYPERLINK("http://catalog.hathitrust.org/Record/000008231","HathiTrust Record")</f>
        <v/>
      </c>
      <c r="AS553">
        <f>HYPERLINK("https://creighton-primo.hosted.exlibrisgroup.com/primo-explore/search?tab=default_tab&amp;search_scope=EVERYTHING&amp;vid=01CRU&amp;lang=en_US&amp;offset=0&amp;query=any,contains,991002977209702656","Catalog Record")</f>
        <v/>
      </c>
      <c r="AT553">
        <f>HYPERLINK("http://www.worldcat.org/oclc/552727","WorldCat Record")</f>
        <v/>
      </c>
      <c r="AU553" t="inlineStr">
        <is>
          <t>3856364309:eng</t>
        </is>
      </c>
      <c r="AV553" t="inlineStr">
        <is>
          <t>552727</t>
        </is>
      </c>
      <c r="AW553" t="inlineStr">
        <is>
          <t>991002977209702656</t>
        </is>
      </c>
      <c r="AX553" t="inlineStr">
        <is>
          <t>991002977209702656</t>
        </is>
      </c>
      <c r="AY553" t="inlineStr">
        <is>
          <t>2259381190002656</t>
        </is>
      </c>
      <c r="AZ553" t="inlineStr">
        <is>
          <t>BOOK</t>
        </is>
      </c>
      <c r="BC553" t="inlineStr">
        <is>
          <t>32285002248762</t>
        </is>
      </c>
      <c r="BD553" t="inlineStr">
        <is>
          <t>893598129</t>
        </is>
      </c>
    </row>
    <row r="554">
      <c r="A554" t="inlineStr">
        <is>
          <t>No</t>
        </is>
      </c>
      <c r="B554" t="inlineStr">
        <is>
          <t>BF431 .W37 1952</t>
        </is>
      </c>
      <c r="C554" t="inlineStr">
        <is>
          <t>0                      BF 0431000W  37          1952</t>
        </is>
      </c>
      <c r="D554" t="inlineStr">
        <is>
          <t>The range of human capacities / by David Wechsler.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Wechsler, David, 1896-1981.</t>
        </is>
      </c>
      <c r="L554" t="inlineStr">
        <is>
          <t>Baltimore : Williams &amp; Wilkins, 1952.</t>
        </is>
      </c>
      <c r="M554" t="inlineStr">
        <is>
          <t>1952</t>
        </is>
      </c>
      <c r="N554" t="inlineStr">
        <is>
          <t>2d ed.</t>
        </is>
      </c>
      <c r="O554" t="inlineStr">
        <is>
          <t>eng</t>
        </is>
      </c>
      <c r="P554" t="inlineStr">
        <is>
          <t>mdu</t>
        </is>
      </c>
      <c r="R554" t="inlineStr">
        <is>
          <t xml:space="preserve">BF </t>
        </is>
      </c>
      <c r="S554" t="n">
        <v>1</v>
      </c>
      <c r="T554" t="n">
        <v>1</v>
      </c>
      <c r="U554" t="inlineStr">
        <is>
          <t>2002-10-02</t>
        </is>
      </c>
      <c r="V554" t="inlineStr">
        <is>
          <t>2002-10-02</t>
        </is>
      </c>
      <c r="W554" t="inlineStr">
        <is>
          <t>1995-08-21</t>
        </is>
      </c>
      <c r="X554" t="inlineStr">
        <is>
          <t>1995-08-21</t>
        </is>
      </c>
      <c r="Y554" t="n">
        <v>316</v>
      </c>
      <c r="Z554" t="n">
        <v>279</v>
      </c>
      <c r="AA554" t="n">
        <v>568</v>
      </c>
      <c r="AB554" t="n">
        <v>2</v>
      </c>
      <c r="AC554" t="n">
        <v>6</v>
      </c>
      <c r="AD554" t="n">
        <v>14</v>
      </c>
      <c r="AE554" t="n">
        <v>31</v>
      </c>
      <c r="AF554" t="n">
        <v>7</v>
      </c>
      <c r="AG554" t="n">
        <v>15</v>
      </c>
      <c r="AH554" t="n">
        <v>3</v>
      </c>
      <c r="AI554" t="n">
        <v>4</v>
      </c>
      <c r="AJ554" t="n">
        <v>6</v>
      </c>
      <c r="AK554" t="n">
        <v>14</v>
      </c>
      <c r="AL554" t="n">
        <v>1</v>
      </c>
      <c r="AM554" t="n">
        <v>5</v>
      </c>
      <c r="AN554" t="n">
        <v>0</v>
      </c>
      <c r="AO554" t="n">
        <v>0</v>
      </c>
      <c r="AP554" t="inlineStr">
        <is>
          <t>Yes</t>
        </is>
      </c>
      <c r="AQ554" t="inlineStr">
        <is>
          <t>No</t>
        </is>
      </c>
      <c r="AR554">
        <f>HYPERLINK("http://catalog.hathitrust.org/Record/000358698","HathiTrust Record")</f>
        <v/>
      </c>
      <c r="AS554">
        <f>HYPERLINK("https://creighton-primo.hosted.exlibrisgroup.com/primo-explore/search?tab=default_tab&amp;search_scope=EVERYTHING&amp;vid=01CRU&amp;lang=en_US&amp;offset=0&amp;query=any,contains,991004057779702656","Catalog Record")</f>
        <v/>
      </c>
      <c r="AT554">
        <f>HYPERLINK("http://www.worldcat.org/oclc/2230860","WorldCat Record")</f>
        <v/>
      </c>
      <c r="AU554" t="inlineStr">
        <is>
          <t>4926697069:eng</t>
        </is>
      </c>
      <c r="AV554" t="inlineStr">
        <is>
          <t>2230860</t>
        </is>
      </c>
      <c r="AW554" t="inlineStr">
        <is>
          <t>991004057779702656</t>
        </is>
      </c>
      <c r="AX554" t="inlineStr">
        <is>
          <t>991004057779702656</t>
        </is>
      </c>
      <c r="AY554" t="inlineStr">
        <is>
          <t>2262204320002656</t>
        </is>
      </c>
      <c r="AZ554" t="inlineStr">
        <is>
          <t>BOOK</t>
        </is>
      </c>
      <c r="BC554" t="inlineStr">
        <is>
          <t>32285002065240</t>
        </is>
      </c>
      <c r="BD554" t="inlineStr">
        <is>
          <t>893259282</t>
        </is>
      </c>
    </row>
    <row r="555">
      <c r="A555" t="inlineStr">
        <is>
          <t>No</t>
        </is>
      </c>
      <c r="B555" t="inlineStr">
        <is>
          <t>BF431 .W53 1975</t>
        </is>
      </c>
      <c r="C555" t="inlineStr">
        <is>
          <t>0                      BF 0431000W  53          1975</t>
        </is>
      </c>
      <c r="D555" t="inlineStr">
        <is>
          <t>Intelligence can be taught / Arthur Whimbey with Linda Shaw Whimbey.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Whimbey, Arthur.</t>
        </is>
      </c>
      <c r="L555" t="inlineStr">
        <is>
          <t>New York : Dutton, 1975.</t>
        </is>
      </c>
      <c r="M555" t="inlineStr">
        <is>
          <t>1975</t>
        </is>
      </c>
      <c r="N555" t="inlineStr">
        <is>
          <t>1st ed.</t>
        </is>
      </c>
      <c r="O555" t="inlineStr">
        <is>
          <t>eng</t>
        </is>
      </c>
      <c r="P555" t="inlineStr">
        <is>
          <t>nyu</t>
        </is>
      </c>
      <c r="R555" t="inlineStr">
        <is>
          <t xml:space="preserve">BF </t>
        </is>
      </c>
      <c r="S555" t="n">
        <v>9</v>
      </c>
      <c r="T555" t="n">
        <v>9</v>
      </c>
      <c r="U555" t="inlineStr">
        <is>
          <t>2006-03-27</t>
        </is>
      </c>
      <c r="V555" t="inlineStr">
        <is>
          <t>2006-03-27</t>
        </is>
      </c>
      <c r="W555" t="inlineStr">
        <is>
          <t>1991-09-17</t>
        </is>
      </c>
      <c r="X555" t="inlineStr">
        <is>
          <t>1991-09-17</t>
        </is>
      </c>
      <c r="Y555" t="n">
        <v>723</v>
      </c>
      <c r="Z555" t="n">
        <v>657</v>
      </c>
      <c r="AA555" t="n">
        <v>743</v>
      </c>
      <c r="AB555" t="n">
        <v>5</v>
      </c>
      <c r="AC555" t="n">
        <v>6</v>
      </c>
      <c r="AD555" t="n">
        <v>21</v>
      </c>
      <c r="AE555" t="n">
        <v>23</v>
      </c>
      <c r="AF555" t="n">
        <v>5</v>
      </c>
      <c r="AG555" t="n">
        <v>5</v>
      </c>
      <c r="AH555" t="n">
        <v>4</v>
      </c>
      <c r="AI555" t="n">
        <v>4</v>
      </c>
      <c r="AJ555" t="n">
        <v>12</v>
      </c>
      <c r="AK555" t="n">
        <v>13</v>
      </c>
      <c r="AL555" t="n">
        <v>4</v>
      </c>
      <c r="AM555" t="n">
        <v>5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HYPERLINK("http://catalog.hathitrust.org/Record/000032625","HathiTrust Record")</f>
        <v/>
      </c>
      <c r="AS555">
        <f>HYPERLINK("https://creighton-primo.hosted.exlibrisgroup.com/primo-explore/search?tab=default_tab&amp;search_scope=EVERYTHING&amp;vid=01CRU&amp;lang=en_US&amp;offset=0&amp;query=any,contains,991003538179702656","Catalog Record")</f>
        <v/>
      </c>
      <c r="AT555">
        <f>HYPERLINK("http://www.worldcat.org/oclc/1103253","WorldCat Record")</f>
        <v/>
      </c>
      <c r="AU555" t="inlineStr">
        <is>
          <t>1969417:eng</t>
        </is>
      </c>
      <c r="AV555" t="inlineStr">
        <is>
          <t>1103253</t>
        </is>
      </c>
      <c r="AW555" t="inlineStr">
        <is>
          <t>991003538179702656</t>
        </is>
      </c>
      <c r="AX555" t="inlineStr">
        <is>
          <t>991003538179702656</t>
        </is>
      </c>
      <c r="AY555" t="inlineStr">
        <is>
          <t>2267309010002656</t>
        </is>
      </c>
      <c r="AZ555" t="inlineStr">
        <is>
          <t>BOOK</t>
        </is>
      </c>
      <c r="BB555" t="inlineStr">
        <is>
          <t>9780876901281</t>
        </is>
      </c>
      <c r="BC555" t="inlineStr">
        <is>
          <t>32285000756485</t>
        </is>
      </c>
      <c r="BD555" t="inlineStr">
        <is>
          <t>893535503</t>
        </is>
      </c>
    </row>
    <row r="556">
      <c r="A556" t="inlineStr">
        <is>
          <t>No</t>
        </is>
      </c>
      <c r="B556" t="inlineStr">
        <is>
          <t>BF431 .W58 1967b</t>
        </is>
      </c>
      <c r="C556" t="inlineStr">
        <is>
          <t>0                      BF 0431000W  58          1967b</t>
        </is>
      </c>
      <c r="D556" t="inlineStr">
        <is>
          <t>Intelligence and ability: selected readings.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Wiseman, Stephen, -1971.</t>
        </is>
      </c>
      <c r="L556" t="inlineStr">
        <is>
          <t>Harmondsworth, Penguin, 1967.</t>
        </is>
      </c>
      <c r="M556" t="inlineStr">
        <is>
          <t>1967</t>
        </is>
      </c>
      <c r="O556" t="inlineStr">
        <is>
          <t>eng</t>
        </is>
      </c>
      <c r="P556" t="inlineStr">
        <is>
          <t>enk</t>
        </is>
      </c>
      <c r="Q556" t="inlineStr">
        <is>
          <t>Penguin modern psychology ; UPS5</t>
        </is>
      </c>
      <c r="R556" t="inlineStr">
        <is>
          <t xml:space="preserve">BF </t>
        </is>
      </c>
      <c r="S556" t="n">
        <v>5</v>
      </c>
      <c r="T556" t="n">
        <v>5</v>
      </c>
      <c r="U556" t="inlineStr">
        <is>
          <t>2002-10-24</t>
        </is>
      </c>
      <c r="V556" t="inlineStr">
        <is>
          <t>2002-10-24</t>
        </is>
      </c>
      <c r="W556" t="inlineStr">
        <is>
          <t>1996-07-30</t>
        </is>
      </c>
      <c r="X556" t="inlineStr">
        <is>
          <t>1996-07-30</t>
        </is>
      </c>
      <c r="Y556" t="n">
        <v>171</v>
      </c>
      <c r="Z556" t="n">
        <v>71</v>
      </c>
      <c r="AA556" t="n">
        <v>309</v>
      </c>
      <c r="AB556" t="n">
        <v>1</v>
      </c>
      <c r="AC556" t="n">
        <v>4</v>
      </c>
      <c r="AD556" t="n">
        <v>2</v>
      </c>
      <c r="AE556" t="n">
        <v>14</v>
      </c>
      <c r="AF556" t="n">
        <v>1</v>
      </c>
      <c r="AG556" t="n">
        <v>2</v>
      </c>
      <c r="AH556" t="n">
        <v>0</v>
      </c>
      <c r="AI556" t="n">
        <v>2</v>
      </c>
      <c r="AJ556" t="n">
        <v>1</v>
      </c>
      <c r="AK556" t="n">
        <v>9</v>
      </c>
      <c r="AL556" t="n">
        <v>0</v>
      </c>
      <c r="AM556" t="n">
        <v>3</v>
      </c>
      <c r="AN556" t="n">
        <v>0</v>
      </c>
      <c r="AO556" t="n">
        <v>0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HYPERLINK("http://catalog.hathitrust.org/Record/000358040","HathiTrust Record")</f>
        <v/>
      </c>
      <c r="AS556">
        <f>HYPERLINK("https://creighton-primo.hosted.exlibrisgroup.com/primo-explore/search?tab=default_tab&amp;search_scope=EVERYTHING&amp;vid=01CRU&amp;lang=en_US&amp;offset=0&amp;query=any,contains,991002643559702656","Catalog Record")</f>
        <v/>
      </c>
      <c r="AT556">
        <f>HYPERLINK("http://www.worldcat.org/oclc/385074","WorldCat Record")</f>
        <v/>
      </c>
      <c r="AU556" t="inlineStr">
        <is>
          <t>821645314:eng</t>
        </is>
      </c>
      <c r="AV556" t="inlineStr">
        <is>
          <t>385074</t>
        </is>
      </c>
      <c r="AW556" t="inlineStr">
        <is>
          <t>991002643559702656</t>
        </is>
      </c>
      <c r="AX556" t="inlineStr">
        <is>
          <t>991002643559702656</t>
        </is>
      </c>
      <c r="AY556" t="inlineStr">
        <is>
          <t>2258989800002656</t>
        </is>
      </c>
      <c r="AZ556" t="inlineStr">
        <is>
          <t>BOOK</t>
        </is>
      </c>
      <c r="BC556" t="inlineStr">
        <is>
          <t>32285002248788</t>
        </is>
      </c>
      <c r="BD556" t="inlineStr">
        <is>
          <t>893347739</t>
        </is>
      </c>
    </row>
    <row r="557">
      <c r="A557" t="inlineStr">
        <is>
          <t>No</t>
        </is>
      </c>
      <c r="B557" t="inlineStr">
        <is>
          <t>BF431 .W585</t>
        </is>
      </c>
      <c r="C557" t="inlineStr">
        <is>
          <t>0                      BF 0431000W  585</t>
        </is>
      </c>
      <c r="D557" t="inlineStr">
        <is>
          <t>The discovery of talent / edited by Dael Wolfle.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Wolfle, Dael, 1906-2002 compiler.</t>
        </is>
      </c>
      <c r="L557" t="inlineStr">
        <is>
          <t>Cambridge, Mass. : Harvard University Press, 1969.</t>
        </is>
      </c>
      <c r="M557" t="inlineStr">
        <is>
          <t>1969</t>
        </is>
      </c>
      <c r="O557" t="inlineStr">
        <is>
          <t>eng</t>
        </is>
      </c>
      <c r="P557" t="inlineStr">
        <is>
          <t>mau</t>
        </is>
      </c>
      <c r="Q557" t="inlineStr">
        <is>
          <t>The Walter Van Dyke Bingham lectures on the development of exceptional abilities and capacities</t>
        </is>
      </c>
      <c r="R557" t="inlineStr">
        <is>
          <t xml:space="preserve">BF </t>
        </is>
      </c>
      <c r="S557" t="n">
        <v>1</v>
      </c>
      <c r="T557" t="n">
        <v>1</v>
      </c>
      <c r="U557" t="inlineStr">
        <is>
          <t>1997-03-18</t>
        </is>
      </c>
      <c r="V557" t="inlineStr">
        <is>
          <t>1997-03-18</t>
        </is>
      </c>
      <c r="W557" t="inlineStr">
        <is>
          <t>1994-06-29</t>
        </is>
      </c>
      <c r="X557" t="inlineStr">
        <is>
          <t>1994-06-29</t>
        </is>
      </c>
      <c r="Y557" t="n">
        <v>520</v>
      </c>
      <c r="Z557" t="n">
        <v>436</v>
      </c>
      <c r="AA557" t="n">
        <v>448</v>
      </c>
      <c r="AB557" t="n">
        <v>3</v>
      </c>
      <c r="AC557" t="n">
        <v>3</v>
      </c>
      <c r="AD557" t="n">
        <v>21</v>
      </c>
      <c r="AE557" t="n">
        <v>21</v>
      </c>
      <c r="AF557" t="n">
        <v>7</v>
      </c>
      <c r="AG557" t="n">
        <v>7</v>
      </c>
      <c r="AH557" t="n">
        <v>7</v>
      </c>
      <c r="AI557" t="n">
        <v>7</v>
      </c>
      <c r="AJ557" t="n">
        <v>10</v>
      </c>
      <c r="AK557" t="n">
        <v>10</v>
      </c>
      <c r="AL557" t="n">
        <v>2</v>
      </c>
      <c r="AM557" t="n">
        <v>2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HYPERLINK("http://catalog.hathitrust.org/Record/000384024","HathiTrust Record")</f>
        <v/>
      </c>
      <c r="AS557">
        <f>HYPERLINK("https://creighton-primo.hosted.exlibrisgroup.com/primo-explore/search?tab=default_tab&amp;search_scope=EVERYTHING&amp;vid=01CRU&amp;lang=en_US&amp;offset=0&amp;query=any,contains,991000005039702656","Catalog Record")</f>
        <v/>
      </c>
      <c r="AT557">
        <f>HYPERLINK("http://www.worldcat.org/oclc/12907","WorldCat Record")</f>
        <v/>
      </c>
      <c r="AU557" t="inlineStr">
        <is>
          <t>111621764:eng</t>
        </is>
      </c>
      <c r="AV557" t="inlineStr">
        <is>
          <t>12907</t>
        </is>
      </c>
      <c r="AW557" t="inlineStr">
        <is>
          <t>991000005039702656</t>
        </is>
      </c>
      <c r="AX557" t="inlineStr">
        <is>
          <t>991000005039702656</t>
        </is>
      </c>
      <c r="AY557" t="inlineStr">
        <is>
          <t>2264944840002656</t>
        </is>
      </c>
      <c r="AZ557" t="inlineStr">
        <is>
          <t>BOOK</t>
        </is>
      </c>
      <c r="BC557" t="inlineStr">
        <is>
          <t>32285001935625</t>
        </is>
      </c>
      <c r="BD557" t="inlineStr">
        <is>
          <t>893607537</t>
        </is>
      </c>
    </row>
    <row r="558">
      <c r="A558" t="inlineStr">
        <is>
          <t>No</t>
        </is>
      </c>
      <c r="B558" t="inlineStr">
        <is>
          <t>BF432.A1 Y36</t>
        </is>
      </c>
      <c r="C558" t="inlineStr">
        <is>
          <t>0                      BF 0432000A  1                  Y  36</t>
        </is>
      </c>
      <c r="D558" t="inlineStr">
        <is>
          <t>Intellectual and personality characteristics of children : social class and ethnic group differences / Regina Yando, Victoria Seitz, Edward Zigler.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Yando, Regina.</t>
        </is>
      </c>
      <c r="L558" t="inlineStr">
        <is>
          <t>Hillsdale, N.J. : Lawrence Erlbaum Associates, 1979.</t>
        </is>
      </c>
      <c r="M558" t="inlineStr">
        <is>
          <t>1979</t>
        </is>
      </c>
      <c r="O558" t="inlineStr">
        <is>
          <t>eng</t>
        </is>
      </c>
      <c r="P558" t="inlineStr">
        <is>
          <t>nju</t>
        </is>
      </c>
      <c r="R558" t="inlineStr">
        <is>
          <t xml:space="preserve">BF </t>
        </is>
      </c>
      <c r="S558" t="n">
        <v>2</v>
      </c>
      <c r="T558" t="n">
        <v>2</v>
      </c>
      <c r="U558" t="inlineStr">
        <is>
          <t>1995-11-08</t>
        </is>
      </c>
      <c r="V558" t="inlineStr">
        <is>
          <t>1995-11-08</t>
        </is>
      </c>
      <c r="W558" t="inlineStr">
        <is>
          <t>1993-03-29</t>
        </is>
      </c>
      <c r="X558" t="inlineStr">
        <is>
          <t>1993-03-29</t>
        </is>
      </c>
      <c r="Y558" t="n">
        <v>474</v>
      </c>
      <c r="Z558" t="n">
        <v>371</v>
      </c>
      <c r="AA558" t="n">
        <v>378</v>
      </c>
      <c r="AB558" t="n">
        <v>2</v>
      </c>
      <c r="AC558" t="n">
        <v>2</v>
      </c>
      <c r="AD558" t="n">
        <v>12</v>
      </c>
      <c r="AE558" t="n">
        <v>12</v>
      </c>
      <c r="AF558" t="n">
        <v>3</v>
      </c>
      <c r="AG558" t="n">
        <v>3</v>
      </c>
      <c r="AH558" t="n">
        <v>4</v>
      </c>
      <c r="AI558" t="n">
        <v>4</v>
      </c>
      <c r="AJ558" t="n">
        <v>6</v>
      </c>
      <c r="AK558" t="n">
        <v>6</v>
      </c>
      <c r="AL558" t="n">
        <v>1</v>
      </c>
      <c r="AM558" t="n">
        <v>1</v>
      </c>
      <c r="AN558" t="n">
        <v>0</v>
      </c>
      <c r="AO558" t="n">
        <v>0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HYPERLINK("https://creighton-primo.hosted.exlibrisgroup.com/primo-explore/search?tab=default_tab&amp;search_scope=EVERYTHING&amp;vid=01CRU&amp;lang=en_US&amp;offset=0&amp;query=any,contains,991004714569702656","Catalog Record")</f>
        <v/>
      </c>
      <c r="AT558">
        <f>HYPERLINK("http://www.worldcat.org/oclc/4775525","WorldCat Record")</f>
        <v/>
      </c>
      <c r="AU558" t="inlineStr">
        <is>
          <t>12471341:eng</t>
        </is>
      </c>
      <c r="AV558" t="inlineStr">
        <is>
          <t>4775525</t>
        </is>
      </c>
      <c r="AW558" t="inlineStr">
        <is>
          <t>991004714569702656</t>
        </is>
      </c>
      <c r="AX558" t="inlineStr">
        <is>
          <t>991004714569702656</t>
        </is>
      </c>
      <c r="AY558" t="inlineStr">
        <is>
          <t>2255485840002656</t>
        </is>
      </c>
      <c r="AZ558" t="inlineStr">
        <is>
          <t>BOOK</t>
        </is>
      </c>
      <c r="BB558" t="inlineStr">
        <is>
          <t>9780898590012</t>
        </is>
      </c>
      <c r="BC558" t="inlineStr">
        <is>
          <t>32285001592236</t>
        </is>
      </c>
      <c r="BD558" t="inlineStr">
        <is>
          <t>893325688</t>
        </is>
      </c>
    </row>
    <row r="559">
      <c r="A559" t="inlineStr">
        <is>
          <t>No</t>
        </is>
      </c>
      <c r="B559" t="inlineStr">
        <is>
          <t>BF432.C5 V47 1982</t>
        </is>
      </c>
      <c r="C559" t="inlineStr">
        <is>
          <t>0                      BF 0432000C  5                  V  47          1982</t>
        </is>
      </c>
      <c r="D559" t="inlineStr">
        <is>
          <t>The abilities and achievements of Orientals in North America / Philip E. Vernon.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Vernon, Philip E., 1905-1987.</t>
        </is>
      </c>
      <c r="L559" t="inlineStr">
        <is>
          <t>New York : Academic Press, 1982.</t>
        </is>
      </c>
      <c r="M559" t="inlineStr">
        <is>
          <t>1982</t>
        </is>
      </c>
      <c r="O559" t="inlineStr">
        <is>
          <t>eng</t>
        </is>
      </c>
      <c r="P559" t="inlineStr">
        <is>
          <t>nyu</t>
        </is>
      </c>
      <c r="Q559" t="inlineStr">
        <is>
          <t>Personality and psychopathology</t>
        </is>
      </c>
      <c r="R559" t="inlineStr">
        <is>
          <t xml:space="preserve">BF </t>
        </is>
      </c>
      <c r="S559" t="n">
        <v>5</v>
      </c>
      <c r="T559" t="n">
        <v>5</v>
      </c>
      <c r="U559" t="inlineStr">
        <is>
          <t>1999-09-20</t>
        </is>
      </c>
      <c r="V559" t="inlineStr">
        <is>
          <t>1999-09-20</t>
        </is>
      </c>
      <c r="W559" t="inlineStr">
        <is>
          <t>1992-10-16</t>
        </is>
      </c>
      <c r="X559" t="inlineStr">
        <is>
          <t>1992-10-16</t>
        </is>
      </c>
      <c r="Y559" t="n">
        <v>373</v>
      </c>
      <c r="Z559" t="n">
        <v>289</v>
      </c>
      <c r="AA559" t="n">
        <v>327</v>
      </c>
      <c r="AB559" t="n">
        <v>3</v>
      </c>
      <c r="AC559" t="n">
        <v>3</v>
      </c>
      <c r="AD559" t="n">
        <v>13</v>
      </c>
      <c r="AE559" t="n">
        <v>15</v>
      </c>
      <c r="AF559" t="n">
        <v>3</v>
      </c>
      <c r="AG559" t="n">
        <v>4</v>
      </c>
      <c r="AH559" t="n">
        <v>3</v>
      </c>
      <c r="AI559" t="n">
        <v>4</v>
      </c>
      <c r="AJ559" t="n">
        <v>7</v>
      </c>
      <c r="AK559" t="n">
        <v>7</v>
      </c>
      <c r="AL559" t="n">
        <v>2</v>
      </c>
      <c r="AM559" t="n">
        <v>2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HYPERLINK("http://catalog.hathitrust.org/Record/000146686","HathiTrust Record")</f>
        <v/>
      </c>
      <c r="AS559">
        <f>HYPERLINK("https://creighton-primo.hosted.exlibrisgroup.com/primo-explore/search?tab=default_tab&amp;search_scope=EVERYTHING&amp;vid=01CRU&amp;lang=en_US&amp;offset=0&amp;query=any,contains,991005210979702656","Catalog Record")</f>
        <v/>
      </c>
      <c r="AT559">
        <f>HYPERLINK("http://www.worldcat.org/oclc/8168936","WorldCat Record")</f>
        <v/>
      </c>
      <c r="AU559" t="inlineStr">
        <is>
          <t>30920509:eng</t>
        </is>
      </c>
      <c r="AV559" t="inlineStr">
        <is>
          <t>8168936</t>
        </is>
      </c>
      <c r="AW559" t="inlineStr">
        <is>
          <t>991005210979702656</t>
        </is>
      </c>
      <c r="AX559" t="inlineStr">
        <is>
          <t>991005210979702656</t>
        </is>
      </c>
      <c r="AY559" t="inlineStr">
        <is>
          <t>2271860090002656</t>
        </is>
      </c>
      <c r="AZ559" t="inlineStr">
        <is>
          <t>BOOK</t>
        </is>
      </c>
      <c r="BB559" t="inlineStr">
        <is>
          <t>9780127186801</t>
        </is>
      </c>
      <c r="BC559" t="inlineStr">
        <is>
          <t>32285001350940</t>
        </is>
      </c>
      <c r="BD559" t="inlineStr">
        <is>
          <t>893801919</t>
        </is>
      </c>
    </row>
    <row r="560">
      <c r="A560" t="inlineStr">
        <is>
          <t>No</t>
        </is>
      </c>
      <c r="B560" t="inlineStr">
        <is>
          <t>BF432.N5 S39</t>
        </is>
      </c>
      <c r="C560" t="inlineStr">
        <is>
          <t>0                      BF 0432000N  5                  S  39</t>
        </is>
      </c>
      <c r="D560" t="inlineStr">
        <is>
          <t>The fallacy of I.Q., edited and with foreword by Carl Senna.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Senna, Carl, 1944-</t>
        </is>
      </c>
      <c r="L560" t="inlineStr">
        <is>
          <t>New York, Third Press [1973]</t>
        </is>
      </c>
      <c r="M560" t="inlineStr">
        <is>
          <t>1973</t>
        </is>
      </c>
      <c r="O560" t="inlineStr">
        <is>
          <t>eng</t>
        </is>
      </c>
      <c r="P560" t="inlineStr">
        <is>
          <t>nyu</t>
        </is>
      </c>
      <c r="R560" t="inlineStr">
        <is>
          <t xml:space="preserve">BF </t>
        </is>
      </c>
      <c r="S560" t="n">
        <v>4</v>
      </c>
      <c r="T560" t="n">
        <v>4</v>
      </c>
      <c r="U560" t="inlineStr">
        <is>
          <t>2001-03-27</t>
        </is>
      </c>
      <c r="V560" t="inlineStr">
        <is>
          <t>2001-03-27</t>
        </is>
      </c>
      <c r="W560" t="inlineStr">
        <is>
          <t>1996-07-30</t>
        </is>
      </c>
      <c r="X560" t="inlineStr">
        <is>
          <t>1996-07-30</t>
        </is>
      </c>
      <c r="Y560" t="n">
        <v>580</v>
      </c>
      <c r="Z560" t="n">
        <v>513</v>
      </c>
      <c r="AA560" t="n">
        <v>521</v>
      </c>
      <c r="AB560" t="n">
        <v>3</v>
      </c>
      <c r="AC560" t="n">
        <v>3</v>
      </c>
      <c r="AD560" t="n">
        <v>14</v>
      </c>
      <c r="AE560" t="n">
        <v>14</v>
      </c>
      <c r="AF560" t="n">
        <v>4</v>
      </c>
      <c r="AG560" t="n">
        <v>4</v>
      </c>
      <c r="AH560" t="n">
        <v>3</v>
      </c>
      <c r="AI560" t="n">
        <v>3</v>
      </c>
      <c r="AJ560" t="n">
        <v>8</v>
      </c>
      <c r="AK560" t="n">
        <v>8</v>
      </c>
      <c r="AL560" t="n">
        <v>2</v>
      </c>
      <c r="AM560" t="n">
        <v>2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HYPERLINK("http://catalog.hathitrust.org/Record/000358734","HathiTrust Record")</f>
        <v/>
      </c>
      <c r="AS560">
        <f>HYPERLINK("https://creighton-primo.hosted.exlibrisgroup.com/primo-explore/search?tab=default_tab&amp;search_scope=EVERYTHING&amp;vid=01CRU&amp;lang=en_US&amp;offset=0&amp;query=any,contains,991003086189702656","Catalog Record")</f>
        <v/>
      </c>
      <c r="AT560">
        <f>HYPERLINK("http://www.worldcat.org/oclc/636457","WorldCat Record")</f>
        <v/>
      </c>
      <c r="AU560" t="inlineStr">
        <is>
          <t>1768167:eng</t>
        </is>
      </c>
      <c r="AV560" t="inlineStr">
        <is>
          <t>636457</t>
        </is>
      </c>
      <c r="AW560" t="inlineStr">
        <is>
          <t>991003086189702656</t>
        </is>
      </c>
      <c r="AX560" t="inlineStr">
        <is>
          <t>991003086189702656</t>
        </is>
      </c>
      <c r="AY560" t="inlineStr">
        <is>
          <t>2255166170002656</t>
        </is>
      </c>
      <c r="AZ560" t="inlineStr">
        <is>
          <t>BOOK</t>
        </is>
      </c>
      <c r="BB560" t="inlineStr">
        <is>
          <t>9780893880545</t>
        </is>
      </c>
      <c r="BC560" t="inlineStr">
        <is>
          <t>32285002248796</t>
        </is>
      </c>
      <c r="BD560" t="inlineStr">
        <is>
          <t>893623139</t>
        </is>
      </c>
    </row>
    <row r="561">
      <c r="A561" t="inlineStr">
        <is>
          <t>No</t>
        </is>
      </c>
      <c r="B561" t="inlineStr">
        <is>
          <t>BF433.A3 M6</t>
        </is>
      </c>
      <c r="C561" t="inlineStr">
        <is>
          <t>0                      BF 0433000A  3                  M  6</t>
        </is>
      </c>
      <c r="D561" t="inlineStr">
        <is>
          <t>Constancy and IQ change; a clinical view of relationships between tested intelligence and personality, by Alice E. Moriarty.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Moriarty, Alice E. (Alice Ewell), 1917-2003.</t>
        </is>
      </c>
      <c r="L561" t="inlineStr">
        <is>
          <t>Springfield, Ill., Thomas [1966]</t>
        </is>
      </c>
      <c r="M561" t="inlineStr">
        <is>
          <t>1966</t>
        </is>
      </c>
      <c r="O561" t="inlineStr">
        <is>
          <t>eng</t>
        </is>
      </c>
      <c r="P561" t="inlineStr">
        <is>
          <t>ilu</t>
        </is>
      </c>
      <c r="R561" t="inlineStr">
        <is>
          <t xml:space="preserve">BF </t>
        </is>
      </c>
      <c r="S561" t="n">
        <v>1</v>
      </c>
      <c r="T561" t="n">
        <v>1</v>
      </c>
      <c r="U561" t="inlineStr">
        <is>
          <t>2000-10-11</t>
        </is>
      </c>
      <c r="V561" t="inlineStr">
        <is>
          <t>2000-10-11</t>
        </is>
      </c>
      <c r="W561" t="inlineStr">
        <is>
          <t>1996-07-30</t>
        </is>
      </c>
      <c r="X561" t="inlineStr">
        <is>
          <t>1996-07-30</t>
        </is>
      </c>
      <c r="Y561" t="n">
        <v>286</v>
      </c>
      <c r="Z561" t="n">
        <v>239</v>
      </c>
      <c r="AA561" t="n">
        <v>242</v>
      </c>
      <c r="AB561" t="n">
        <v>2</v>
      </c>
      <c r="AC561" t="n">
        <v>2</v>
      </c>
      <c r="AD561" t="n">
        <v>16</v>
      </c>
      <c r="AE561" t="n">
        <v>16</v>
      </c>
      <c r="AF561" t="n">
        <v>8</v>
      </c>
      <c r="AG561" t="n">
        <v>8</v>
      </c>
      <c r="AH561" t="n">
        <v>2</v>
      </c>
      <c r="AI561" t="n">
        <v>2</v>
      </c>
      <c r="AJ561" t="n">
        <v>8</v>
      </c>
      <c r="AK561" t="n">
        <v>8</v>
      </c>
      <c r="AL561" t="n">
        <v>1</v>
      </c>
      <c r="AM561" t="n">
        <v>1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HYPERLINK("http://catalog.hathitrust.org/Record/000358752","HathiTrust Record")</f>
        <v/>
      </c>
      <c r="AS561">
        <f>HYPERLINK("https://creighton-primo.hosted.exlibrisgroup.com/primo-explore/search?tab=default_tab&amp;search_scope=EVERYTHING&amp;vid=01CRU&amp;lang=en_US&amp;offset=0&amp;query=any,contains,991003017239702656","Catalog Record")</f>
        <v/>
      </c>
      <c r="AT561">
        <f>HYPERLINK("http://www.worldcat.org/oclc/581973","WorldCat Record")</f>
        <v/>
      </c>
      <c r="AU561" t="inlineStr">
        <is>
          <t>363970143:eng</t>
        </is>
      </c>
      <c r="AV561" t="inlineStr">
        <is>
          <t>581973</t>
        </is>
      </c>
      <c r="AW561" t="inlineStr">
        <is>
          <t>991003017239702656</t>
        </is>
      </c>
      <c r="AX561" t="inlineStr">
        <is>
          <t>991003017239702656</t>
        </is>
      </c>
      <c r="AY561" t="inlineStr">
        <is>
          <t>2271203810002656</t>
        </is>
      </c>
      <c r="AZ561" t="inlineStr">
        <is>
          <t>BOOK</t>
        </is>
      </c>
      <c r="BC561" t="inlineStr">
        <is>
          <t>32285002248804</t>
        </is>
      </c>
      <c r="BD561" t="inlineStr">
        <is>
          <t>893518068</t>
        </is>
      </c>
    </row>
    <row r="562">
      <c r="A562" t="inlineStr">
        <is>
          <t>No</t>
        </is>
      </c>
      <c r="B562" t="inlineStr">
        <is>
          <t>BF433.A6 T6</t>
        </is>
      </c>
      <c r="C562" t="inlineStr">
        <is>
          <t>0                      BF 0433000A  6                  T  6</t>
        </is>
      </c>
      <c r="D562" t="inlineStr">
        <is>
          <t>The thematic apperception test; the theory and technique of interpretation, by Silvan S. Tomkins with the collaboration of Elizabeth J. Tomkins.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Tomkins, Silvan S. (Silvan Solomon), 1911-1991.</t>
        </is>
      </c>
      <c r="L562" t="inlineStr">
        <is>
          <t>New York, Grune &amp; Stratton, 1947.</t>
        </is>
      </c>
      <c r="M562" t="inlineStr">
        <is>
          <t>1947</t>
        </is>
      </c>
      <c r="O562" t="inlineStr">
        <is>
          <t>eng</t>
        </is>
      </c>
      <c r="P562" t="inlineStr">
        <is>
          <t>nyu</t>
        </is>
      </c>
      <c r="R562" t="inlineStr">
        <is>
          <t xml:space="preserve">BF </t>
        </is>
      </c>
      <c r="S562" t="n">
        <v>1</v>
      </c>
      <c r="T562" t="n">
        <v>1</v>
      </c>
      <c r="U562" t="inlineStr">
        <is>
          <t>2002-04-14</t>
        </is>
      </c>
      <c r="V562" t="inlineStr">
        <is>
          <t>2002-04-14</t>
        </is>
      </c>
      <c r="W562" t="inlineStr">
        <is>
          <t>1996-07-30</t>
        </is>
      </c>
      <c r="X562" t="inlineStr">
        <is>
          <t>1996-07-30</t>
        </is>
      </c>
      <c r="Y562" t="n">
        <v>679</v>
      </c>
      <c r="Z562" t="n">
        <v>600</v>
      </c>
      <c r="AA562" t="n">
        <v>658</v>
      </c>
      <c r="AB562" t="n">
        <v>2</v>
      </c>
      <c r="AC562" t="n">
        <v>2</v>
      </c>
      <c r="AD562" t="n">
        <v>29</v>
      </c>
      <c r="AE562" t="n">
        <v>29</v>
      </c>
      <c r="AF562" t="n">
        <v>14</v>
      </c>
      <c r="AG562" t="n">
        <v>14</v>
      </c>
      <c r="AH562" t="n">
        <v>6</v>
      </c>
      <c r="AI562" t="n">
        <v>6</v>
      </c>
      <c r="AJ562" t="n">
        <v>14</v>
      </c>
      <c r="AK562" t="n">
        <v>14</v>
      </c>
      <c r="AL562" t="n">
        <v>1</v>
      </c>
      <c r="AM562" t="n">
        <v>1</v>
      </c>
      <c r="AN562" t="n">
        <v>0</v>
      </c>
      <c r="AO562" t="n">
        <v>0</v>
      </c>
      <c r="AP562" t="inlineStr">
        <is>
          <t>Yes</t>
        </is>
      </c>
      <c r="AQ562" t="inlineStr">
        <is>
          <t>No</t>
        </is>
      </c>
      <c r="AR562">
        <f>HYPERLINK("http://catalog.hathitrust.org/Record/000387176","HathiTrust Record")</f>
        <v/>
      </c>
      <c r="AS562">
        <f>HYPERLINK("https://creighton-primo.hosted.exlibrisgroup.com/primo-explore/search?tab=default_tab&amp;search_scope=EVERYTHING&amp;vid=01CRU&amp;lang=en_US&amp;offset=0&amp;query=any,contains,991001232649702656","Catalog Record")</f>
        <v/>
      </c>
      <c r="AT562">
        <f>HYPERLINK("http://www.worldcat.org/oclc/204108","WorldCat Record")</f>
        <v/>
      </c>
      <c r="AU562" t="inlineStr">
        <is>
          <t>1008379723:eng</t>
        </is>
      </c>
      <c r="AV562" t="inlineStr">
        <is>
          <t>204108</t>
        </is>
      </c>
      <c r="AW562" t="inlineStr">
        <is>
          <t>991001232649702656</t>
        </is>
      </c>
      <c r="AX562" t="inlineStr">
        <is>
          <t>991001232649702656</t>
        </is>
      </c>
      <c r="AY562" t="inlineStr">
        <is>
          <t>2257007170002656</t>
        </is>
      </c>
      <c r="AZ562" t="inlineStr">
        <is>
          <t>BOOK</t>
        </is>
      </c>
      <c r="BC562" t="inlineStr">
        <is>
          <t>32285002248812</t>
        </is>
      </c>
      <c r="BD562" t="inlineStr">
        <is>
          <t>893878749</t>
        </is>
      </c>
    </row>
    <row r="563">
      <c r="A563" t="inlineStr">
        <is>
          <t>No</t>
        </is>
      </c>
      <c r="B563" t="inlineStr">
        <is>
          <t>BF441 .B73 1984</t>
        </is>
      </c>
      <c r="C563" t="inlineStr">
        <is>
          <t>0                      BF 0441000B  73          1984</t>
        </is>
      </c>
      <c r="D563" t="inlineStr">
        <is>
          <t>The ideal problem solver : a guide for improving thinking, learning, and creativity / John D. Bransford, Barry S. Stein.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Bransford, John.</t>
        </is>
      </c>
      <c r="L563" t="inlineStr">
        <is>
          <t>New York, NY : W.H. Freeman, c1984.</t>
        </is>
      </c>
      <c r="M563" t="inlineStr">
        <is>
          <t>1984</t>
        </is>
      </c>
      <c r="O563" t="inlineStr">
        <is>
          <t>eng</t>
        </is>
      </c>
      <c r="P563" t="inlineStr">
        <is>
          <t>nyu</t>
        </is>
      </c>
      <c r="Q563" t="inlineStr">
        <is>
          <t>A Series of books in psychology</t>
        </is>
      </c>
      <c r="R563" t="inlineStr">
        <is>
          <t xml:space="preserve">BF </t>
        </is>
      </c>
      <c r="S563" t="n">
        <v>8</v>
      </c>
      <c r="T563" t="n">
        <v>8</v>
      </c>
      <c r="U563" t="inlineStr">
        <is>
          <t>2007-09-29</t>
        </is>
      </c>
      <c r="V563" t="inlineStr">
        <is>
          <t>2007-09-29</t>
        </is>
      </c>
      <c r="W563" t="inlineStr">
        <is>
          <t>1992-03-20</t>
        </is>
      </c>
      <c r="X563" t="inlineStr">
        <is>
          <t>1992-03-20</t>
        </is>
      </c>
      <c r="Y563" t="n">
        <v>801</v>
      </c>
      <c r="Z563" t="n">
        <v>639</v>
      </c>
      <c r="AA563" t="n">
        <v>772</v>
      </c>
      <c r="AB563" t="n">
        <v>5</v>
      </c>
      <c r="AC563" t="n">
        <v>5</v>
      </c>
      <c r="AD563" t="n">
        <v>28</v>
      </c>
      <c r="AE563" t="n">
        <v>30</v>
      </c>
      <c r="AF563" t="n">
        <v>11</v>
      </c>
      <c r="AG563" t="n">
        <v>13</v>
      </c>
      <c r="AH563" t="n">
        <v>6</v>
      </c>
      <c r="AI563" t="n">
        <v>6</v>
      </c>
      <c r="AJ563" t="n">
        <v>15</v>
      </c>
      <c r="AK563" t="n">
        <v>16</v>
      </c>
      <c r="AL563" t="n">
        <v>3</v>
      </c>
      <c r="AM563" t="n">
        <v>3</v>
      </c>
      <c r="AN563" t="n">
        <v>0</v>
      </c>
      <c r="AO563" t="n">
        <v>0</v>
      </c>
      <c r="AP563" t="inlineStr">
        <is>
          <t>No</t>
        </is>
      </c>
      <c r="AQ563" t="inlineStr">
        <is>
          <t>No</t>
        </is>
      </c>
      <c r="AS563">
        <f>HYPERLINK("https://creighton-primo.hosted.exlibrisgroup.com/primo-explore/search?tab=default_tab&amp;search_scope=EVERYTHING&amp;vid=01CRU&amp;lang=en_US&amp;offset=0&amp;query=any,contains,991000439969702656","Catalog Record")</f>
        <v/>
      </c>
      <c r="AT563">
        <f>HYPERLINK("http://www.worldcat.org/oclc/10823510","WorldCat Record")</f>
        <v/>
      </c>
      <c r="AU563" t="inlineStr">
        <is>
          <t>348754:eng</t>
        </is>
      </c>
      <c r="AV563" t="inlineStr">
        <is>
          <t>10823510</t>
        </is>
      </c>
      <c r="AW563" t="inlineStr">
        <is>
          <t>991000439969702656</t>
        </is>
      </c>
      <c r="AX563" t="inlineStr">
        <is>
          <t>991000439969702656</t>
        </is>
      </c>
      <c r="AY563" t="inlineStr">
        <is>
          <t>2262562080002656</t>
        </is>
      </c>
      <c r="AZ563" t="inlineStr">
        <is>
          <t>BOOK</t>
        </is>
      </c>
      <c r="BB563" t="inlineStr">
        <is>
          <t>9780716716686</t>
        </is>
      </c>
      <c r="BC563" t="inlineStr">
        <is>
          <t>32285001014454</t>
        </is>
      </c>
      <c r="BD563" t="inlineStr">
        <is>
          <t>893777928</t>
        </is>
      </c>
    </row>
    <row r="564">
      <c r="A564" t="inlineStr">
        <is>
          <t>No</t>
        </is>
      </c>
      <c r="B564" t="inlineStr">
        <is>
          <t>BF441 .G73 1988</t>
        </is>
      </c>
      <c r="C564" t="inlineStr">
        <is>
          <t>0                      BF 0441000G  73          1988</t>
        </is>
      </c>
      <c r="D564" t="inlineStr">
        <is>
          <t>Teaching critical thinking / Grace E. Grant.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K564" t="inlineStr">
        <is>
          <t>Grant, Grace E.</t>
        </is>
      </c>
      <c r="L564" t="inlineStr">
        <is>
          <t>New York : Praeger, 1988.</t>
        </is>
      </c>
      <c r="M564" t="inlineStr">
        <is>
          <t>1988</t>
        </is>
      </c>
      <c r="O564" t="inlineStr">
        <is>
          <t>eng</t>
        </is>
      </c>
      <c r="P564" t="inlineStr">
        <is>
          <t>nyu</t>
        </is>
      </c>
      <c r="R564" t="inlineStr">
        <is>
          <t xml:space="preserve">BF </t>
        </is>
      </c>
      <c r="S564" t="n">
        <v>5</v>
      </c>
      <c r="T564" t="n">
        <v>5</v>
      </c>
      <c r="U564" t="inlineStr">
        <is>
          <t>2001-11-07</t>
        </is>
      </c>
      <c r="V564" t="inlineStr">
        <is>
          <t>2001-11-07</t>
        </is>
      </c>
      <c r="W564" t="inlineStr">
        <is>
          <t>1992-07-16</t>
        </is>
      </c>
      <c r="X564" t="inlineStr">
        <is>
          <t>1992-07-16</t>
        </is>
      </c>
      <c r="Y564" t="n">
        <v>422</v>
      </c>
      <c r="Z564" t="n">
        <v>345</v>
      </c>
      <c r="AA564" t="n">
        <v>352</v>
      </c>
      <c r="AB564" t="n">
        <v>4</v>
      </c>
      <c r="AC564" t="n">
        <v>4</v>
      </c>
      <c r="AD564" t="n">
        <v>13</v>
      </c>
      <c r="AE564" t="n">
        <v>13</v>
      </c>
      <c r="AF564" t="n">
        <v>6</v>
      </c>
      <c r="AG564" t="n">
        <v>6</v>
      </c>
      <c r="AH564" t="n">
        <v>1</v>
      </c>
      <c r="AI564" t="n">
        <v>1</v>
      </c>
      <c r="AJ564" t="n">
        <v>6</v>
      </c>
      <c r="AK564" t="n">
        <v>6</v>
      </c>
      <c r="AL564" t="n">
        <v>3</v>
      </c>
      <c r="AM564" t="n">
        <v>3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HYPERLINK("http://catalog.hathitrust.org/Record/000921096","HathiTrust Record")</f>
        <v/>
      </c>
      <c r="AS564">
        <f>HYPERLINK("https://creighton-primo.hosted.exlibrisgroup.com/primo-explore/search?tab=default_tab&amp;search_scope=EVERYTHING&amp;vid=01CRU&amp;lang=en_US&amp;offset=0&amp;query=any,contains,991001173289702656","Catalog Record")</f>
        <v/>
      </c>
      <c r="AT564">
        <f>HYPERLINK("http://www.worldcat.org/oclc/16983670","WorldCat Record")</f>
        <v/>
      </c>
      <c r="AU564" t="inlineStr">
        <is>
          <t>2563744:eng</t>
        </is>
      </c>
      <c r="AV564" t="inlineStr">
        <is>
          <t>16983670</t>
        </is>
      </c>
      <c r="AW564" t="inlineStr">
        <is>
          <t>991001173289702656</t>
        </is>
      </c>
      <c r="AX564" t="inlineStr">
        <is>
          <t>991001173289702656</t>
        </is>
      </c>
      <c r="AY564" t="inlineStr">
        <is>
          <t>2257135600002656</t>
        </is>
      </c>
      <c r="AZ564" t="inlineStr">
        <is>
          <t>BOOK</t>
        </is>
      </c>
      <c r="BB564" t="inlineStr">
        <is>
          <t>9780275927493</t>
        </is>
      </c>
      <c r="BC564" t="inlineStr">
        <is>
          <t>32285001154193</t>
        </is>
      </c>
      <c r="BD564" t="inlineStr">
        <is>
          <t>893250032</t>
        </is>
      </c>
    </row>
    <row r="565">
      <c r="A565" t="inlineStr">
        <is>
          <t>No</t>
        </is>
      </c>
      <c r="B565" t="inlineStr">
        <is>
          <t>BF441 .H33</t>
        </is>
      </c>
      <c r="C565" t="inlineStr">
        <is>
          <t>0                      BF 0441000H  33</t>
        </is>
      </c>
      <c r="D565" t="inlineStr">
        <is>
          <t>The complete problem solver / John R. Hayes.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K565" t="inlineStr">
        <is>
          <t>Hayes, John R., 1940-</t>
        </is>
      </c>
      <c r="L565" t="inlineStr">
        <is>
          <t>Philadelphia, Pa. : Franklin Institute Press, c1981.</t>
        </is>
      </c>
      <c r="M565" t="inlineStr">
        <is>
          <t>1981</t>
        </is>
      </c>
      <c r="O565" t="inlineStr">
        <is>
          <t>eng</t>
        </is>
      </c>
      <c r="P565" t="inlineStr">
        <is>
          <t>pau</t>
        </is>
      </c>
      <c r="R565" t="inlineStr">
        <is>
          <t xml:space="preserve">BF </t>
        </is>
      </c>
      <c r="S565" t="n">
        <v>10</v>
      </c>
      <c r="T565" t="n">
        <v>10</v>
      </c>
      <c r="U565" t="inlineStr">
        <is>
          <t>1997-06-30</t>
        </is>
      </c>
      <c r="V565" t="inlineStr">
        <is>
          <t>1997-06-30</t>
        </is>
      </c>
      <c r="W565" t="inlineStr">
        <is>
          <t>1993-03-29</t>
        </is>
      </c>
      <c r="X565" t="inlineStr">
        <is>
          <t>1993-03-29</t>
        </is>
      </c>
      <c r="Y565" t="n">
        <v>710</v>
      </c>
      <c r="Z565" t="n">
        <v>633</v>
      </c>
      <c r="AA565" t="n">
        <v>832</v>
      </c>
      <c r="AB565" t="n">
        <v>4</v>
      </c>
      <c r="AC565" t="n">
        <v>4</v>
      </c>
      <c r="AD565" t="n">
        <v>29</v>
      </c>
      <c r="AE565" t="n">
        <v>34</v>
      </c>
      <c r="AF565" t="n">
        <v>12</v>
      </c>
      <c r="AG565" t="n">
        <v>16</v>
      </c>
      <c r="AH565" t="n">
        <v>7</v>
      </c>
      <c r="AI565" t="n">
        <v>8</v>
      </c>
      <c r="AJ565" t="n">
        <v>14</v>
      </c>
      <c r="AK565" t="n">
        <v>17</v>
      </c>
      <c r="AL565" t="n">
        <v>2</v>
      </c>
      <c r="AM565" t="n">
        <v>2</v>
      </c>
      <c r="AN565" t="n">
        <v>0</v>
      </c>
      <c r="AO565" t="n">
        <v>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HYPERLINK("http://catalog.hathitrust.org/Record/000265144","HathiTrust Record")</f>
        <v/>
      </c>
      <c r="AS565">
        <f>HYPERLINK("https://creighton-primo.hosted.exlibrisgroup.com/primo-explore/search?tab=default_tab&amp;search_scope=EVERYTHING&amp;vid=01CRU&amp;lang=en_US&amp;offset=0&amp;query=any,contains,991005112549702656","Catalog Record")</f>
        <v/>
      </c>
      <c r="AT565">
        <f>HYPERLINK("http://www.worldcat.org/oclc/7459453","WorldCat Record")</f>
        <v/>
      </c>
      <c r="AU565" t="inlineStr">
        <is>
          <t>15831524:eng</t>
        </is>
      </c>
      <c r="AV565" t="inlineStr">
        <is>
          <t>7459453</t>
        </is>
      </c>
      <c r="AW565" t="inlineStr">
        <is>
          <t>991005112549702656</t>
        </is>
      </c>
      <c r="AX565" t="inlineStr">
        <is>
          <t>991005112549702656</t>
        </is>
      </c>
      <c r="AY565" t="inlineStr">
        <is>
          <t>2255232950002656</t>
        </is>
      </c>
      <c r="AZ565" t="inlineStr">
        <is>
          <t>BOOK</t>
        </is>
      </c>
      <c r="BB565" t="inlineStr">
        <is>
          <t>9780891680284</t>
        </is>
      </c>
      <c r="BC565" t="inlineStr">
        <is>
          <t>32285001592335</t>
        </is>
      </c>
      <c r="BD565" t="inlineStr">
        <is>
          <t>893443417</t>
        </is>
      </c>
    </row>
    <row r="566">
      <c r="A566" t="inlineStr">
        <is>
          <t>No</t>
        </is>
      </c>
      <c r="B566" t="inlineStr">
        <is>
          <t>BF441 .K27</t>
        </is>
      </c>
      <c r="C566" t="inlineStr">
        <is>
          <t>0                      BF 0441000K  27</t>
        </is>
      </c>
      <c r="D566" t="inlineStr">
        <is>
          <t>Identifying and solving problems : a system approach / Roger Kaufman.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K566" t="inlineStr">
        <is>
          <t>Kaufman, Roger A.</t>
        </is>
      </c>
      <c r="L566" t="inlineStr">
        <is>
          <t>La Jolla, Calif. : University Associates, c1976.</t>
        </is>
      </c>
      <c r="M566" t="inlineStr">
        <is>
          <t>1976</t>
        </is>
      </c>
      <c r="O566" t="inlineStr">
        <is>
          <t>eng</t>
        </is>
      </c>
      <c r="P566" t="inlineStr">
        <is>
          <t>cau</t>
        </is>
      </c>
      <c r="R566" t="inlineStr">
        <is>
          <t xml:space="preserve">BF </t>
        </is>
      </c>
      <c r="S566" t="n">
        <v>2</v>
      </c>
      <c r="T566" t="n">
        <v>2</v>
      </c>
      <c r="U566" t="inlineStr">
        <is>
          <t>2008-02-26</t>
        </is>
      </c>
      <c r="V566" t="inlineStr">
        <is>
          <t>2008-02-26</t>
        </is>
      </c>
      <c r="W566" t="inlineStr">
        <is>
          <t>1992-03-19</t>
        </is>
      </c>
      <c r="X566" t="inlineStr">
        <is>
          <t>1992-03-19</t>
        </is>
      </c>
      <c r="Y566" t="n">
        <v>255</v>
      </c>
      <c r="Z566" t="n">
        <v>208</v>
      </c>
      <c r="AA566" t="n">
        <v>370</v>
      </c>
      <c r="AB566" t="n">
        <v>2</v>
      </c>
      <c r="AC566" t="n">
        <v>5</v>
      </c>
      <c r="AD566" t="n">
        <v>6</v>
      </c>
      <c r="AE566" t="n">
        <v>13</v>
      </c>
      <c r="AF566" t="n">
        <v>1</v>
      </c>
      <c r="AG566" t="n">
        <v>2</v>
      </c>
      <c r="AH566" t="n">
        <v>1</v>
      </c>
      <c r="AI566" t="n">
        <v>3</v>
      </c>
      <c r="AJ566" t="n">
        <v>4</v>
      </c>
      <c r="AK566" t="n">
        <v>7</v>
      </c>
      <c r="AL566" t="n">
        <v>1</v>
      </c>
      <c r="AM566" t="n">
        <v>4</v>
      </c>
      <c r="AN566" t="n">
        <v>0</v>
      </c>
      <c r="AO566" t="n">
        <v>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HYPERLINK("http://catalog.hathitrust.org/Record/009912444","HathiTrust Record")</f>
        <v/>
      </c>
      <c r="AS566">
        <f>HYPERLINK("https://creighton-primo.hosted.exlibrisgroup.com/primo-explore/search?tab=default_tab&amp;search_scope=EVERYTHING&amp;vid=01CRU&amp;lang=en_US&amp;offset=0&amp;query=any,contains,991004119599702656","Catalog Record")</f>
        <v/>
      </c>
      <c r="AT566">
        <f>HYPERLINK("http://www.worldcat.org/oclc/2424328","WorldCat Record")</f>
        <v/>
      </c>
      <c r="AU566" t="inlineStr">
        <is>
          <t>544164:eng</t>
        </is>
      </c>
      <c r="AV566" t="inlineStr">
        <is>
          <t>2424328</t>
        </is>
      </c>
      <c r="AW566" t="inlineStr">
        <is>
          <t>991004119599702656</t>
        </is>
      </c>
      <c r="AX566" t="inlineStr">
        <is>
          <t>991004119599702656</t>
        </is>
      </c>
      <c r="AY566" t="inlineStr">
        <is>
          <t>2265030300002656</t>
        </is>
      </c>
      <c r="AZ566" t="inlineStr">
        <is>
          <t>BOOK</t>
        </is>
      </c>
      <c r="BB566" t="inlineStr">
        <is>
          <t>9780883901175</t>
        </is>
      </c>
      <c r="BC566" t="inlineStr">
        <is>
          <t>32285001024651</t>
        </is>
      </c>
      <c r="BD566" t="inlineStr">
        <is>
          <t>893718494</t>
        </is>
      </c>
    </row>
    <row r="567">
      <c r="A567" t="inlineStr">
        <is>
          <t>No</t>
        </is>
      </c>
      <c r="B567" t="inlineStr">
        <is>
          <t>BF441 .M27 1987</t>
        </is>
      </c>
      <c r="C567" t="inlineStr">
        <is>
          <t>0                      BF 0441000M  27          1987</t>
        </is>
      </c>
      <c r="D567" t="inlineStr">
        <is>
          <t>Patterns, thinking, and cognition : a theory of judgment / Howard Margolis.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K567" t="inlineStr">
        <is>
          <t>Margolis, Howard.</t>
        </is>
      </c>
      <c r="L567" t="inlineStr">
        <is>
          <t>Chicago : University of Chicago Press, 1987.</t>
        </is>
      </c>
      <c r="M567" t="inlineStr">
        <is>
          <t>1987</t>
        </is>
      </c>
      <c r="O567" t="inlineStr">
        <is>
          <t>eng</t>
        </is>
      </c>
      <c r="P567" t="inlineStr">
        <is>
          <t>ilu</t>
        </is>
      </c>
      <c r="R567" t="inlineStr">
        <is>
          <t xml:space="preserve">BF </t>
        </is>
      </c>
      <c r="S567" t="n">
        <v>2</v>
      </c>
      <c r="T567" t="n">
        <v>2</v>
      </c>
      <c r="U567" t="inlineStr">
        <is>
          <t>2007-02-14</t>
        </is>
      </c>
      <c r="V567" t="inlineStr">
        <is>
          <t>2007-02-14</t>
        </is>
      </c>
      <c r="W567" t="inlineStr">
        <is>
          <t>1993-03-29</t>
        </is>
      </c>
      <c r="X567" t="inlineStr">
        <is>
          <t>1993-03-29</t>
        </is>
      </c>
      <c r="Y567" t="n">
        <v>686</v>
      </c>
      <c r="Z567" t="n">
        <v>521</v>
      </c>
      <c r="AA567" t="n">
        <v>525</v>
      </c>
      <c r="AB567" t="n">
        <v>5</v>
      </c>
      <c r="AC567" t="n">
        <v>5</v>
      </c>
      <c r="AD567" t="n">
        <v>28</v>
      </c>
      <c r="AE567" t="n">
        <v>28</v>
      </c>
      <c r="AF567" t="n">
        <v>10</v>
      </c>
      <c r="AG567" t="n">
        <v>10</v>
      </c>
      <c r="AH567" t="n">
        <v>6</v>
      </c>
      <c r="AI567" t="n">
        <v>6</v>
      </c>
      <c r="AJ567" t="n">
        <v>14</v>
      </c>
      <c r="AK567" t="n">
        <v>14</v>
      </c>
      <c r="AL567" t="n">
        <v>4</v>
      </c>
      <c r="AM567" t="n">
        <v>4</v>
      </c>
      <c r="AN567" t="n">
        <v>0</v>
      </c>
      <c r="AO567" t="n">
        <v>0</v>
      </c>
      <c r="AP567" t="inlineStr">
        <is>
          <t>No</t>
        </is>
      </c>
      <c r="AQ567" t="inlineStr">
        <is>
          <t>No</t>
        </is>
      </c>
      <c r="AS567">
        <f>HYPERLINK("https://creighton-primo.hosted.exlibrisgroup.com/primo-explore/search?tab=default_tab&amp;search_scope=EVERYTHING&amp;vid=01CRU&amp;lang=en_US&amp;offset=0&amp;query=any,contains,991001063729702656","Catalog Record")</f>
        <v/>
      </c>
      <c r="AT567">
        <f>HYPERLINK("http://www.worldcat.org/oclc/15792013","WorldCat Record")</f>
        <v/>
      </c>
      <c r="AU567" t="inlineStr">
        <is>
          <t>311992128:eng</t>
        </is>
      </c>
      <c r="AV567" t="inlineStr">
        <is>
          <t>15792013</t>
        </is>
      </c>
      <c r="AW567" t="inlineStr">
        <is>
          <t>991001063729702656</t>
        </is>
      </c>
      <c r="AX567" t="inlineStr">
        <is>
          <t>991001063729702656</t>
        </is>
      </c>
      <c r="AY567" t="inlineStr">
        <is>
          <t>2261695920002656</t>
        </is>
      </c>
      <c r="AZ567" t="inlineStr">
        <is>
          <t>BOOK</t>
        </is>
      </c>
      <c r="BB567" t="inlineStr">
        <is>
          <t>9780226505275</t>
        </is>
      </c>
      <c r="BC567" t="inlineStr">
        <is>
          <t>32285001592376</t>
        </is>
      </c>
      <c r="BD567" t="inlineStr">
        <is>
          <t>893243825</t>
        </is>
      </c>
    </row>
    <row r="568">
      <c r="A568" t="inlineStr">
        <is>
          <t>No</t>
        </is>
      </c>
      <c r="B568" t="inlineStr">
        <is>
          <t>BF441 .P83 1985</t>
        </is>
      </c>
      <c r="C568" t="inlineStr">
        <is>
          <t>0                      BF 0441000P  83          1985</t>
        </is>
      </c>
      <c r="D568" t="inlineStr">
        <is>
          <t>The Psychology of questions / edited by Arthur C. Graesser, John B. Black.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L568" t="inlineStr">
        <is>
          <t>Hillsdale, N.J. : L. Erlbaum Associates, c1985.</t>
        </is>
      </c>
      <c r="M568" t="inlineStr">
        <is>
          <t>1985</t>
        </is>
      </c>
      <c r="O568" t="inlineStr">
        <is>
          <t>eng</t>
        </is>
      </c>
      <c r="P568" t="inlineStr">
        <is>
          <t>nju</t>
        </is>
      </c>
      <c r="R568" t="inlineStr">
        <is>
          <t xml:space="preserve">BF </t>
        </is>
      </c>
      <c r="S568" t="n">
        <v>2</v>
      </c>
      <c r="T568" t="n">
        <v>2</v>
      </c>
      <c r="U568" t="inlineStr">
        <is>
          <t>1993-08-03</t>
        </is>
      </c>
      <c r="V568" t="inlineStr">
        <is>
          <t>1993-08-03</t>
        </is>
      </c>
      <c r="W568" t="inlineStr">
        <is>
          <t>1993-03-29</t>
        </is>
      </c>
      <c r="X568" t="inlineStr">
        <is>
          <t>1993-03-29</t>
        </is>
      </c>
      <c r="Y568" t="n">
        <v>502</v>
      </c>
      <c r="Z568" t="n">
        <v>415</v>
      </c>
      <c r="AA568" t="n">
        <v>434</v>
      </c>
      <c r="AB568" t="n">
        <v>5</v>
      </c>
      <c r="AC568" t="n">
        <v>5</v>
      </c>
      <c r="AD568" t="n">
        <v>21</v>
      </c>
      <c r="AE568" t="n">
        <v>22</v>
      </c>
      <c r="AF568" t="n">
        <v>4</v>
      </c>
      <c r="AG568" t="n">
        <v>5</v>
      </c>
      <c r="AH568" t="n">
        <v>7</v>
      </c>
      <c r="AI568" t="n">
        <v>7</v>
      </c>
      <c r="AJ568" t="n">
        <v>12</v>
      </c>
      <c r="AK568" t="n">
        <v>12</v>
      </c>
      <c r="AL568" t="n">
        <v>4</v>
      </c>
      <c r="AM568" t="n">
        <v>4</v>
      </c>
      <c r="AN568" t="n">
        <v>0</v>
      </c>
      <c r="AO568" t="n">
        <v>0</v>
      </c>
      <c r="AP568" t="inlineStr">
        <is>
          <t>No</t>
        </is>
      </c>
      <c r="AQ568" t="inlineStr">
        <is>
          <t>Yes</t>
        </is>
      </c>
      <c r="AR568">
        <f>HYPERLINK("http://catalog.hathitrust.org/Record/004444952","HathiTrust Record")</f>
        <v/>
      </c>
      <c r="AS568">
        <f>HYPERLINK("https://creighton-primo.hosted.exlibrisgroup.com/primo-explore/search?tab=default_tab&amp;search_scope=EVERYTHING&amp;vid=01CRU&amp;lang=en_US&amp;offset=0&amp;query=any,contains,991000589029702656","Catalog Record")</f>
        <v/>
      </c>
      <c r="AT568">
        <f>HYPERLINK("http://www.worldcat.org/oclc/11783613","WorldCat Record")</f>
        <v/>
      </c>
      <c r="AU568" t="inlineStr">
        <is>
          <t>346006948:eng</t>
        </is>
      </c>
      <c r="AV568" t="inlineStr">
        <is>
          <t>11783613</t>
        </is>
      </c>
      <c r="AW568" t="inlineStr">
        <is>
          <t>991000589029702656</t>
        </is>
      </c>
      <c r="AX568" t="inlineStr">
        <is>
          <t>991000589029702656</t>
        </is>
      </c>
      <c r="AY568" t="inlineStr">
        <is>
          <t>2255255740002656</t>
        </is>
      </c>
      <c r="AZ568" t="inlineStr">
        <is>
          <t>BOOK</t>
        </is>
      </c>
      <c r="BB568" t="inlineStr">
        <is>
          <t>9780898594447</t>
        </is>
      </c>
      <c r="BC568" t="inlineStr">
        <is>
          <t>32285001592418</t>
        </is>
      </c>
      <c r="BD568" t="inlineStr">
        <is>
          <t>893432092</t>
        </is>
      </c>
    </row>
    <row r="569">
      <c r="A569" t="inlineStr">
        <is>
          <t>No</t>
        </is>
      </c>
      <c r="B569" t="inlineStr">
        <is>
          <t>BF441 .V66 1986</t>
        </is>
      </c>
      <c r="C569" t="inlineStr">
        <is>
          <t>0                      BF 0441000V  66          1986</t>
        </is>
      </c>
      <c r="D569" t="inlineStr">
        <is>
          <t>Decision analysis and behavioral research / Detlof von Winterfeldt, Ward Edwards.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Von Winterfeldt, Detlof.</t>
        </is>
      </c>
      <c r="L569" t="inlineStr">
        <is>
          <t>Cambridge [Cambridgeshire] ; New York : Cambridge University Press, 1986.</t>
        </is>
      </c>
      <c r="M569" t="inlineStr">
        <is>
          <t>1986</t>
        </is>
      </c>
      <c r="O569" t="inlineStr">
        <is>
          <t>eng</t>
        </is>
      </c>
      <c r="P569" t="inlineStr">
        <is>
          <t>enk</t>
        </is>
      </c>
      <c r="R569" t="inlineStr">
        <is>
          <t xml:space="preserve">BF </t>
        </is>
      </c>
      <c r="S569" t="n">
        <v>4</v>
      </c>
      <c r="T569" t="n">
        <v>4</v>
      </c>
      <c r="U569" t="inlineStr">
        <is>
          <t>1997-04-21</t>
        </is>
      </c>
      <c r="V569" t="inlineStr">
        <is>
          <t>1997-04-21</t>
        </is>
      </c>
      <c r="W569" t="inlineStr">
        <is>
          <t>1993-04-13</t>
        </is>
      </c>
      <c r="X569" t="inlineStr">
        <is>
          <t>1993-04-13</t>
        </is>
      </c>
      <c r="Y569" t="n">
        <v>488</v>
      </c>
      <c r="Z569" t="n">
        <v>344</v>
      </c>
      <c r="AA569" t="n">
        <v>345</v>
      </c>
      <c r="AB569" t="n">
        <v>2</v>
      </c>
      <c r="AC569" t="n">
        <v>2</v>
      </c>
      <c r="AD569" t="n">
        <v>19</v>
      </c>
      <c r="AE569" t="n">
        <v>19</v>
      </c>
      <c r="AF569" t="n">
        <v>6</v>
      </c>
      <c r="AG569" t="n">
        <v>6</v>
      </c>
      <c r="AH569" t="n">
        <v>5</v>
      </c>
      <c r="AI569" t="n">
        <v>5</v>
      </c>
      <c r="AJ569" t="n">
        <v>10</v>
      </c>
      <c r="AK569" t="n">
        <v>10</v>
      </c>
      <c r="AL569" t="n">
        <v>1</v>
      </c>
      <c r="AM569" t="n">
        <v>1</v>
      </c>
      <c r="AN569" t="n">
        <v>1</v>
      </c>
      <c r="AO569" t="n">
        <v>1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HYPERLINK("https://creighton-primo.hosted.exlibrisgroup.com/primo-explore/search?tab=default_tab&amp;search_scope=EVERYTHING&amp;vid=01CRU&amp;lang=en_US&amp;offset=0&amp;query=any,contains,991000768809702656","Catalog Record")</f>
        <v/>
      </c>
      <c r="AT569">
        <f>HYPERLINK("http://www.worldcat.org/oclc/13008763","WorldCat Record")</f>
        <v/>
      </c>
      <c r="AU569" t="inlineStr">
        <is>
          <t>5467164:eng</t>
        </is>
      </c>
      <c r="AV569" t="inlineStr">
        <is>
          <t>13008763</t>
        </is>
      </c>
      <c r="AW569" t="inlineStr">
        <is>
          <t>991000768809702656</t>
        </is>
      </c>
      <c r="AX569" t="inlineStr">
        <is>
          <t>991000768809702656</t>
        </is>
      </c>
      <c r="AY569" t="inlineStr">
        <is>
          <t>2265460340002656</t>
        </is>
      </c>
      <c r="AZ569" t="inlineStr">
        <is>
          <t>BOOK</t>
        </is>
      </c>
      <c r="BB569" t="inlineStr">
        <is>
          <t>9780521273046</t>
        </is>
      </c>
      <c r="BC569" t="inlineStr">
        <is>
          <t>32285001618718</t>
        </is>
      </c>
      <c r="BD569" t="inlineStr">
        <is>
          <t>893444452</t>
        </is>
      </c>
    </row>
    <row r="570">
      <c r="A570" t="inlineStr">
        <is>
          <t>No</t>
        </is>
      </c>
      <c r="B570" t="inlineStr">
        <is>
          <t>BF441 .W35 1974</t>
        </is>
      </c>
      <c r="C570" t="inlineStr">
        <is>
          <t>0                      BF 0441000W  35          1974</t>
        </is>
      </c>
      <c r="D570" t="inlineStr">
        <is>
          <t>Change; principles of problem formation and problem resolution [by] Paul Wátzlawick, John H. Weakland [and] Richard Fisch. Foreword by Milton H. Erickson.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Watzlawick, Paul, 1921-2007.</t>
        </is>
      </c>
      <c r="L570" t="inlineStr">
        <is>
          <t>New York, Norton [1974]</t>
        </is>
      </c>
      <c r="M570" t="inlineStr">
        <is>
          <t>1974</t>
        </is>
      </c>
      <c r="N570" t="inlineStr">
        <is>
          <t>[1st ed.]</t>
        </is>
      </c>
      <c r="O570" t="inlineStr">
        <is>
          <t>eng</t>
        </is>
      </c>
      <c r="P570" t="inlineStr">
        <is>
          <t>nyu</t>
        </is>
      </c>
      <c r="R570" t="inlineStr">
        <is>
          <t xml:space="preserve">BF </t>
        </is>
      </c>
      <c r="S570" t="n">
        <v>4</v>
      </c>
      <c r="T570" t="n">
        <v>4</v>
      </c>
      <c r="U570" t="inlineStr">
        <is>
          <t>2002-05-02</t>
        </is>
      </c>
      <c r="V570" t="inlineStr">
        <is>
          <t>2002-05-02</t>
        </is>
      </c>
      <c r="W570" t="inlineStr">
        <is>
          <t>1996-07-30</t>
        </is>
      </c>
      <c r="X570" t="inlineStr">
        <is>
          <t>1996-07-30</t>
        </is>
      </c>
      <c r="Y570" t="n">
        <v>1101</v>
      </c>
      <c r="Z570" t="n">
        <v>863</v>
      </c>
      <c r="AA570" t="n">
        <v>912</v>
      </c>
      <c r="AB570" t="n">
        <v>5</v>
      </c>
      <c r="AC570" t="n">
        <v>5</v>
      </c>
      <c r="AD570" t="n">
        <v>40</v>
      </c>
      <c r="AE570" t="n">
        <v>41</v>
      </c>
      <c r="AF570" t="n">
        <v>18</v>
      </c>
      <c r="AG570" t="n">
        <v>19</v>
      </c>
      <c r="AH570" t="n">
        <v>7</v>
      </c>
      <c r="AI570" t="n">
        <v>7</v>
      </c>
      <c r="AJ570" t="n">
        <v>21</v>
      </c>
      <c r="AK570" t="n">
        <v>21</v>
      </c>
      <c r="AL570" t="n">
        <v>4</v>
      </c>
      <c r="AM570" t="n">
        <v>4</v>
      </c>
      <c r="AN570" t="n">
        <v>0</v>
      </c>
      <c r="AO570" t="n">
        <v>0</v>
      </c>
      <c r="AP570" t="inlineStr">
        <is>
          <t>No</t>
        </is>
      </c>
      <c r="AQ570" t="inlineStr">
        <is>
          <t>No</t>
        </is>
      </c>
      <c r="AS570">
        <f>HYPERLINK("https://creighton-primo.hosted.exlibrisgroup.com/primo-explore/search?tab=default_tab&amp;search_scope=EVERYTHING&amp;vid=01CRU&amp;lang=en_US&amp;offset=0&amp;query=any,contains,991005253629702656","Catalog Record")</f>
        <v/>
      </c>
      <c r="AT570">
        <f>HYPERLINK("http://www.worldcat.org/oclc/730810","WorldCat Record")</f>
        <v/>
      </c>
      <c r="AU570" t="inlineStr">
        <is>
          <t>4495044332:eng</t>
        </is>
      </c>
      <c r="AV570" t="inlineStr">
        <is>
          <t>730810</t>
        </is>
      </c>
      <c r="AW570" t="inlineStr">
        <is>
          <t>991005253629702656</t>
        </is>
      </c>
      <c r="AX570" t="inlineStr">
        <is>
          <t>991005253629702656</t>
        </is>
      </c>
      <c r="AY570" t="inlineStr">
        <is>
          <t>2267050060002656</t>
        </is>
      </c>
      <c r="AZ570" t="inlineStr">
        <is>
          <t>BOOK</t>
        </is>
      </c>
      <c r="BB570" t="inlineStr">
        <is>
          <t>9780393011043</t>
        </is>
      </c>
      <c r="BC570" t="inlineStr">
        <is>
          <t>32285002249000</t>
        </is>
      </c>
      <c r="BD570" t="inlineStr">
        <is>
          <t>893242445</t>
        </is>
      </c>
    </row>
    <row r="571">
      <c r="A571" t="inlineStr">
        <is>
          <t>No</t>
        </is>
      </c>
      <c r="B571" t="inlineStr">
        <is>
          <t>BF441 .W475 1986</t>
        </is>
      </c>
      <c r="C571" t="inlineStr">
        <is>
          <t>0                      BF 0441000W  475         1986</t>
        </is>
      </c>
      <c r="D571" t="inlineStr">
        <is>
          <t>Problem solving and comprehension / Arthur Whimbey, Jack Lochhead.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K571" t="inlineStr">
        <is>
          <t>Whimbey, Arthur.</t>
        </is>
      </c>
      <c r="L571" t="inlineStr">
        <is>
          <t>Hillsdale, N.J. : L. Erlbaum Associates, c1986.</t>
        </is>
      </c>
      <c r="M571" t="inlineStr">
        <is>
          <t>1986</t>
        </is>
      </c>
      <c r="N571" t="inlineStr">
        <is>
          <t>4th ed.</t>
        </is>
      </c>
      <c r="O571" t="inlineStr">
        <is>
          <t>eng</t>
        </is>
      </c>
      <c r="P571" t="inlineStr">
        <is>
          <t>nju</t>
        </is>
      </c>
      <c r="R571" t="inlineStr">
        <is>
          <t xml:space="preserve">BF </t>
        </is>
      </c>
      <c r="S571" t="n">
        <v>8</v>
      </c>
      <c r="T571" t="n">
        <v>8</v>
      </c>
      <c r="U571" t="inlineStr">
        <is>
          <t>2004-09-02</t>
        </is>
      </c>
      <c r="V571" t="inlineStr">
        <is>
          <t>2004-09-02</t>
        </is>
      </c>
      <c r="W571" t="inlineStr">
        <is>
          <t>1993-03-29</t>
        </is>
      </c>
      <c r="X571" t="inlineStr">
        <is>
          <t>1993-03-29</t>
        </is>
      </c>
      <c r="Y571" t="n">
        <v>389</v>
      </c>
      <c r="Z571" t="n">
        <v>347</v>
      </c>
      <c r="AA571" t="n">
        <v>1675</v>
      </c>
      <c r="AB571" t="n">
        <v>5</v>
      </c>
      <c r="AC571" t="n">
        <v>8</v>
      </c>
      <c r="AD571" t="n">
        <v>17</v>
      </c>
      <c r="AE571" t="n">
        <v>49</v>
      </c>
      <c r="AF571" t="n">
        <v>4</v>
      </c>
      <c r="AG571" t="n">
        <v>20</v>
      </c>
      <c r="AH571" t="n">
        <v>4</v>
      </c>
      <c r="AI571" t="n">
        <v>10</v>
      </c>
      <c r="AJ571" t="n">
        <v>8</v>
      </c>
      <c r="AK571" t="n">
        <v>23</v>
      </c>
      <c r="AL571" t="n">
        <v>4</v>
      </c>
      <c r="AM571" t="n">
        <v>7</v>
      </c>
      <c r="AN571" t="n">
        <v>0</v>
      </c>
      <c r="AO571" t="n">
        <v>1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HYPERLINK("http://catalog.hathitrust.org/Record/000488211","HathiTrust Record")</f>
        <v/>
      </c>
      <c r="AS571">
        <f>HYPERLINK("https://creighton-primo.hosted.exlibrisgroup.com/primo-explore/search?tab=default_tab&amp;search_scope=EVERYTHING&amp;vid=01CRU&amp;lang=en_US&amp;offset=0&amp;query=any,contains,991000891229702656","Catalog Record")</f>
        <v/>
      </c>
      <c r="AT571">
        <f>HYPERLINK("http://www.worldcat.org/oclc/13914967","WorldCat Record")</f>
        <v/>
      </c>
      <c r="AU571" t="inlineStr">
        <is>
          <t>1002326:eng</t>
        </is>
      </c>
      <c r="AV571" t="inlineStr">
        <is>
          <t>13914967</t>
        </is>
      </c>
      <c r="AW571" t="inlineStr">
        <is>
          <t>991000891229702656</t>
        </is>
      </c>
      <c r="AX571" t="inlineStr">
        <is>
          <t>991000891229702656</t>
        </is>
      </c>
      <c r="AY571" t="inlineStr">
        <is>
          <t>2268284260002656</t>
        </is>
      </c>
      <c r="AZ571" t="inlineStr">
        <is>
          <t>BOOK</t>
        </is>
      </c>
      <c r="BB571" t="inlineStr">
        <is>
          <t>9780898597851</t>
        </is>
      </c>
      <c r="BC571" t="inlineStr">
        <is>
          <t>32285001592475</t>
        </is>
      </c>
      <c r="BD571" t="inlineStr">
        <is>
          <t>893351698</t>
        </is>
      </c>
    </row>
    <row r="572">
      <c r="A572" t="inlineStr">
        <is>
          <t>No</t>
        </is>
      </c>
      <c r="B572" t="inlineStr">
        <is>
          <t>BF444 .C66 1989</t>
        </is>
      </c>
      <c r="C572" t="inlineStr">
        <is>
          <t>0                      BF 0444000C  66          1989</t>
        </is>
      </c>
      <c r="D572" t="inlineStr">
        <is>
          <t>Complex information processing : the impact of Herbert A. Simon / edited by David Klahr, Kenneth Kotovsky.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L572" t="inlineStr">
        <is>
          <t>Hillsdale, NJ : L.L. Erlbaum Associates, c1989.</t>
        </is>
      </c>
      <c r="M572" t="inlineStr">
        <is>
          <t>1989</t>
        </is>
      </c>
      <c r="O572" t="inlineStr">
        <is>
          <t>eng</t>
        </is>
      </c>
      <c r="P572" t="inlineStr">
        <is>
          <t>nju</t>
        </is>
      </c>
      <c r="R572" t="inlineStr">
        <is>
          <t xml:space="preserve">BF </t>
        </is>
      </c>
      <c r="S572" t="n">
        <v>4</v>
      </c>
      <c r="T572" t="n">
        <v>4</v>
      </c>
      <c r="U572" t="inlineStr">
        <is>
          <t>1997-03-14</t>
        </is>
      </c>
      <c r="V572" t="inlineStr">
        <is>
          <t>1997-03-14</t>
        </is>
      </c>
      <c r="W572" t="inlineStr">
        <is>
          <t>1990-01-09</t>
        </is>
      </c>
      <c r="X572" t="inlineStr">
        <is>
          <t>1990-01-09</t>
        </is>
      </c>
      <c r="Y572" t="n">
        <v>382</v>
      </c>
      <c r="Z572" t="n">
        <v>287</v>
      </c>
      <c r="AA572" t="n">
        <v>309</v>
      </c>
      <c r="AB572" t="n">
        <v>4</v>
      </c>
      <c r="AC572" t="n">
        <v>4</v>
      </c>
      <c r="AD572" t="n">
        <v>17</v>
      </c>
      <c r="AE572" t="n">
        <v>17</v>
      </c>
      <c r="AF572" t="n">
        <v>3</v>
      </c>
      <c r="AG572" t="n">
        <v>3</v>
      </c>
      <c r="AH572" t="n">
        <v>6</v>
      </c>
      <c r="AI572" t="n">
        <v>6</v>
      </c>
      <c r="AJ572" t="n">
        <v>9</v>
      </c>
      <c r="AK572" t="n">
        <v>9</v>
      </c>
      <c r="AL572" t="n">
        <v>3</v>
      </c>
      <c r="AM572" t="n">
        <v>3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HYPERLINK("https://creighton-primo.hosted.exlibrisgroup.com/primo-explore/search?tab=default_tab&amp;search_scope=EVERYTHING&amp;vid=01CRU&amp;lang=en_US&amp;offset=0&amp;query=any,contains,991001378039702656","Catalog Record")</f>
        <v/>
      </c>
      <c r="AT572">
        <f>HYPERLINK("http://www.worldcat.org/oclc/18629251","WorldCat Record")</f>
        <v/>
      </c>
      <c r="AU572" t="inlineStr">
        <is>
          <t>866632280:eng</t>
        </is>
      </c>
      <c r="AV572" t="inlineStr">
        <is>
          <t>18629251</t>
        </is>
      </c>
      <c r="AW572" t="inlineStr">
        <is>
          <t>991001378039702656</t>
        </is>
      </c>
      <c r="AX572" t="inlineStr">
        <is>
          <t>991001378039702656</t>
        </is>
      </c>
      <c r="AY572" t="inlineStr">
        <is>
          <t>2265235910002656</t>
        </is>
      </c>
      <c r="AZ572" t="inlineStr">
        <is>
          <t>BOOK</t>
        </is>
      </c>
      <c r="BB572" t="inlineStr">
        <is>
          <t>9780805801798</t>
        </is>
      </c>
      <c r="BC572" t="inlineStr">
        <is>
          <t>32285000026939</t>
        </is>
      </c>
      <c r="BD572" t="inlineStr">
        <is>
          <t>893891532</t>
        </is>
      </c>
    </row>
    <row r="573">
      <c r="A573" t="inlineStr">
        <is>
          <t>No</t>
        </is>
      </c>
      <c r="B573" t="inlineStr">
        <is>
          <t>BF445 .C38 1987</t>
        </is>
      </c>
      <c r="C573" t="inlineStr">
        <is>
          <t>0                      BF 0445000C  38          1987</t>
        </is>
      </c>
      <c r="D573" t="inlineStr">
        <is>
          <t>Categorical perception : the groundwork of cognition / edited by Stevan Harnad.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Cambridge ; New York : Cambridge University Press, 1987.</t>
        </is>
      </c>
      <c r="M573" t="inlineStr">
        <is>
          <t>1987</t>
        </is>
      </c>
      <c r="O573" t="inlineStr">
        <is>
          <t>eng</t>
        </is>
      </c>
      <c r="P573" t="inlineStr">
        <is>
          <t>enk</t>
        </is>
      </c>
      <c r="R573" t="inlineStr">
        <is>
          <t xml:space="preserve">BF </t>
        </is>
      </c>
      <c r="S573" t="n">
        <v>3</v>
      </c>
      <c r="T573" t="n">
        <v>3</v>
      </c>
      <c r="U573" t="inlineStr">
        <is>
          <t>1994-11-27</t>
        </is>
      </c>
      <c r="V573" t="inlineStr">
        <is>
          <t>1994-11-27</t>
        </is>
      </c>
      <c r="W573" t="inlineStr">
        <is>
          <t>1992-06-11</t>
        </is>
      </c>
      <c r="X573" t="inlineStr">
        <is>
          <t>1992-06-11</t>
        </is>
      </c>
      <c r="Y573" t="n">
        <v>480</v>
      </c>
      <c r="Z573" t="n">
        <v>322</v>
      </c>
      <c r="AA573" t="n">
        <v>331</v>
      </c>
      <c r="AB573" t="n">
        <v>2</v>
      </c>
      <c r="AC573" t="n">
        <v>2</v>
      </c>
      <c r="AD573" t="n">
        <v>12</v>
      </c>
      <c r="AE573" t="n">
        <v>12</v>
      </c>
      <c r="AF573" t="n">
        <v>2</v>
      </c>
      <c r="AG573" t="n">
        <v>2</v>
      </c>
      <c r="AH573" t="n">
        <v>5</v>
      </c>
      <c r="AI573" t="n">
        <v>5</v>
      </c>
      <c r="AJ573" t="n">
        <v>8</v>
      </c>
      <c r="AK573" t="n">
        <v>8</v>
      </c>
      <c r="AL573" t="n">
        <v>1</v>
      </c>
      <c r="AM573" t="n">
        <v>1</v>
      </c>
      <c r="AN573" t="n">
        <v>0</v>
      </c>
      <c r="AO573" t="n">
        <v>0</v>
      </c>
      <c r="AP573" t="inlineStr">
        <is>
          <t>No</t>
        </is>
      </c>
      <c r="AQ573" t="inlineStr">
        <is>
          <t>No</t>
        </is>
      </c>
      <c r="AS573">
        <f>HYPERLINK("https://creighton-primo.hosted.exlibrisgroup.com/primo-explore/search?tab=default_tab&amp;search_scope=EVERYTHING&amp;vid=01CRU&amp;lang=en_US&amp;offset=0&amp;query=any,contains,991000987309702656","Catalog Record")</f>
        <v/>
      </c>
      <c r="AT573">
        <f>HYPERLINK("http://www.worldcat.org/oclc/15083148","WorldCat Record")</f>
        <v/>
      </c>
      <c r="AU573" t="inlineStr">
        <is>
          <t>807330677:eng</t>
        </is>
      </c>
      <c r="AV573" t="inlineStr">
        <is>
          <t>15083148</t>
        </is>
      </c>
      <c r="AW573" t="inlineStr">
        <is>
          <t>991000987309702656</t>
        </is>
      </c>
      <c r="AX573" t="inlineStr">
        <is>
          <t>991000987309702656</t>
        </is>
      </c>
      <c r="AY573" t="inlineStr">
        <is>
          <t>2258055490002656</t>
        </is>
      </c>
      <c r="AZ573" t="inlineStr">
        <is>
          <t>BOOK</t>
        </is>
      </c>
      <c r="BB573" t="inlineStr">
        <is>
          <t>9780521267588</t>
        </is>
      </c>
      <c r="BC573" t="inlineStr">
        <is>
          <t>32285001127835</t>
        </is>
      </c>
      <c r="BD573" t="inlineStr">
        <is>
          <t>893407723</t>
        </is>
      </c>
    </row>
    <row r="574">
      <c r="A574" t="inlineStr">
        <is>
          <t>No</t>
        </is>
      </c>
      <c r="B574" t="inlineStr">
        <is>
          <t>BF445 .C66 1989</t>
        </is>
      </c>
      <c r="C574" t="inlineStr">
        <is>
          <t>0                      BF 0445000C  66          1989</t>
        </is>
      </c>
      <c r="D574" t="inlineStr">
        <is>
          <t>Concepts and conceptual development : ecological and intellectual factors in categorization / edited by Ulric Neisser.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L574" t="inlineStr">
        <is>
          <t>Cambridge ; New York : Cambridge University Press, 1989.</t>
        </is>
      </c>
      <c r="M574" t="inlineStr">
        <is>
          <t>1989</t>
        </is>
      </c>
      <c r="N574" t="inlineStr">
        <is>
          <t>1st paperback ed.</t>
        </is>
      </c>
      <c r="O574" t="inlineStr">
        <is>
          <t>eng</t>
        </is>
      </c>
      <c r="P574" t="inlineStr">
        <is>
          <t>nyu</t>
        </is>
      </c>
      <c r="Q574" t="inlineStr">
        <is>
          <t>Emory symposia in cognition ; 1</t>
        </is>
      </c>
      <c r="R574" t="inlineStr">
        <is>
          <t xml:space="preserve">BF </t>
        </is>
      </c>
      <c r="S574" t="n">
        <v>5</v>
      </c>
      <c r="T574" t="n">
        <v>5</v>
      </c>
      <c r="U574" t="inlineStr">
        <is>
          <t>2003-04-10</t>
        </is>
      </c>
      <c r="V574" t="inlineStr">
        <is>
          <t>2003-04-10</t>
        </is>
      </c>
      <c r="W574" t="inlineStr">
        <is>
          <t>1992-06-22</t>
        </is>
      </c>
      <c r="X574" t="inlineStr">
        <is>
          <t>1992-06-22</t>
        </is>
      </c>
      <c r="Y574" t="n">
        <v>42</v>
      </c>
      <c r="Z574" t="n">
        <v>26</v>
      </c>
      <c r="AA574" t="n">
        <v>356</v>
      </c>
      <c r="AB574" t="n">
        <v>1</v>
      </c>
      <c r="AC574" t="n">
        <v>3</v>
      </c>
      <c r="AD574" t="n">
        <v>0</v>
      </c>
      <c r="AE574" t="n">
        <v>16</v>
      </c>
      <c r="AF574" t="n">
        <v>0</v>
      </c>
      <c r="AG574" t="n">
        <v>5</v>
      </c>
      <c r="AH574" t="n">
        <v>0</v>
      </c>
      <c r="AI574" t="n">
        <v>4</v>
      </c>
      <c r="AJ574" t="n">
        <v>0</v>
      </c>
      <c r="AK574" t="n">
        <v>9</v>
      </c>
      <c r="AL574" t="n">
        <v>0</v>
      </c>
      <c r="AM574" t="n">
        <v>2</v>
      </c>
      <c r="AN574" t="n">
        <v>0</v>
      </c>
      <c r="AO574" t="n">
        <v>0</v>
      </c>
      <c r="AP574" t="inlineStr">
        <is>
          <t>No</t>
        </is>
      </c>
      <c r="AQ574" t="inlineStr">
        <is>
          <t>No</t>
        </is>
      </c>
      <c r="AS574">
        <f>HYPERLINK("https://creighton-primo.hosted.exlibrisgroup.com/primo-explore/search?tab=default_tab&amp;search_scope=EVERYTHING&amp;vid=01CRU&amp;lang=en_US&amp;offset=0&amp;query=any,contains,991001748829702656","Catalog Record")</f>
        <v/>
      </c>
      <c r="AT574">
        <f>HYPERLINK("http://www.worldcat.org/oclc/22152542","WorldCat Record")</f>
        <v/>
      </c>
      <c r="AU574" t="inlineStr">
        <is>
          <t>808677475:eng</t>
        </is>
      </c>
      <c r="AV574" t="inlineStr">
        <is>
          <t>22152542</t>
        </is>
      </c>
      <c r="AW574" t="inlineStr">
        <is>
          <t>991001748829702656</t>
        </is>
      </c>
      <c r="AX574" t="inlineStr">
        <is>
          <t>991001748829702656</t>
        </is>
      </c>
      <c r="AY574" t="inlineStr">
        <is>
          <t>2254834170002656</t>
        </is>
      </c>
      <c r="AZ574" t="inlineStr">
        <is>
          <t>BOOK</t>
        </is>
      </c>
      <c r="BB574" t="inlineStr">
        <is>
          <t>9780521378758</t>
        </is>
      </c>
      <c r="BC574" t="inlineStr">
        <is>
          <t>32285001155208</t>
        </is>
      </c>
      <c r="BD574" t="inlineStr">
        <is>
          <t>893503644</t>
        </is>
      </c>
    </row>
    <row r="575">
      <c r="A575" t="inlineStr">
        <is>
          <t>No</t>
        </is>
      </c>
      <c r="B575" t="inlineStr">
        <is>
          <t>BF448 .R33 1989</t>
        </is>
      </c>
      <c r="C575" t="inlineStr">
        <is>
          <t>0                      BF 0448000R  33          1989</t>
        </is>
      </c>
      <c r="D575" t="inlineStr">
        <is>
          <t>Judgment, decision, and choice : a cognitive/behavioral synthesis / Howard Rachlin.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K575" t="inlineStr">
        <is>
          <t>Rachlin, Howard, 1935-</t>
        </is>
      </c>
      <c r="L575" t="inlineStr">
        <is>
          <t>New York : W.H. Freeman, c1989.</t>
        </is>
      </c>
      <c r="M575" t="inlineStr">
        <is>
          <t>1989</t>
        </is>
      </c>
      <c r="O575" t="inlineStr">
        <is>
          <t>eng</t>
        </is>
      </c>
      <c r="P575" t="inlineStr">
        <is>
          <t>nyu</t>
        </is>
      </c>
      <c r="Q575" t="inlineStr">
        <is>
          <t>A Series of books in psychology</t>
        </is>
      </c>
      <c r="R575" t="inlineStr">
        <is>
          <t xml:space="preserve">BF </t>
        </is>
      </c>
      <c r="S575" t="n">
        <v>5</v>
      </c>
      <c r="T575" t="n">
        <v>5</v>
      </c>
      <c r="U575" t="inlineStr">
        <is>
          <t>2003-11-08</t>
        </is>
      </c>
      <c r="V575" t="inlineStr">
        <is>
          <t>2003-11-08</t>
        </is>
      </c>
      <c r="W575" t="inlineStr">
        <is>
          <t>1989-11-13</t>
        </is>
      </c>
      <c r="X575" t="inlineStr">
        <is>
          <t>1989-11-13</t>
        </is>
      </c>
      <c r="Y575" t="n">
        <v>539</v>
      </c>
      <c r="Z575" t="n">
        <v>427</v>
      </c>
      <c r="AA575" t="n">
        <v>433</v>
      </c>
      <c r="AB575" t="n">
        <v>6</v>
      </c>
      <c r="AC575" t="n">
        <v>6</v>
      </c>
      <c r="AD575" t="n">
        <v>25</v>
      </c>
      <c r="AE575" t="n">
        <v>25</v>
      </c>
      <c r="AF575" t="n">
        <v>10</v>
      </c>
      <c r="AG575" t="n">
        <v>10</v>
      </c>
      <c r="AH575" t="n">
        <v>6</v>
      </c>
      <c r="AI575" t="n">
        <v>6</v>
      </c>
      <c r="AJ575" t="n">
        <v>11</v>
      </c>
      <c r="AK575" t="n">
        <v>11</v>
      </c>
      <c r="AL575" t="n">
        <v>5</v>
      </c>
      <c r="AM575" t="n">
        <v>5</v>
      </c>
      <c r="AN575" t="n">
        <v>0</v>
      </c>
      <c r="AO575" t="n">
        <v>0</v>
      </c>
      <c r="AP575" t="inlineStr">
        <is>
          <t>No</t>
        </is>
      </c>
      <c r="AQ575" t="inlineStr">
        <is>
          <t>Yes</t>
        </is>
      </c>
      <c r="AR575">
        <f>HYPERLINK("http://catalog.hathitrust.org/Record/001104976","HathiTrust Record")</f>
        <v/>
      </c>
      <c r="AS575">
        <f>HYPERLINK("https://creighton-primo.hosted.exlibrisgroup.com/primo-explore/search?tab=default_tab&amp;search_scope=EVERYTHING&amp;vid=01CRU&amp;lang=en_US&amp;offset=0&amp;query=any,contains,991001299179702656","Catalog Record")</f>
        <v/>
      </c>
      <c r="AT575">
        <f>HYPERLINK("http://www.worldcat.org/oclc/18052668","WorldCat Record")</f>
        <v/>
      </c>
      <c r="AU575" t="inlineStr">
        <is>
          <t>889689447:eng</t>
        </is>
      </c>
      <c r="AV575" t="inlineStr">
        <is>
          <t>18052668</t>
        </is>
      </c>
      <c r="AW575" t="inlineStr">
        <is>
          <t>991001299179702656</t>
        </is>
      </c>
      <c r="AX575" t="inlineStr">
        <is>
          <t>991001299179702656</t>
        </is>
      </c>
      <c r="AY575" t="inlineStr">
        <is>
          <t>2265410980002656</t>
        </is>
      </c>
      <c r="AZ575" t="inlineStr">
        <is>
          <t>BOOK</t>
        </is>
      </c>
      <c r="BB575" t="inlineStr">
        <is>
          <t>9780716719908</t>
        </is>
      </c>
      <c r="BC575" t="inlineStr">
        <is>
          <t>32285000012848</t>
        </is>
      </c>
      <c r="BD575" t="inlineStr">
        <is>
          <t>893503302</t>
        </is>
      </c>
    </row>
    <row r="576">
      <c r="A576" t="inlineStr">
        <is>
          <t>No</t>
        </is>
      </c>
      <c r="B576" t="inlineStr">
        <is>
          <t>BF45.C45 S34</t>
        </is>
      </c>
      <c r="C576" t="inlineStr">
        <is>
          <t>0                      BF 0045000C  45                 S  34</t>
        </is>
      </c>
      <c r="D576" t="inlineStr">
        <is>
          <t>Body language and social order; communication as behavioral control [by] Albert E. Scheflen with Alice Scheflen.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K576" t="inlineStr">
        <is>
          <t>Scheflen, Albert E.</t>
        </is>
      </c>
      <c r="L576" t="inlineStr">
        <is>
          <t>Englewood Cliffs, N.J., Prentice-Hall [1973, c1972]</t>
        </is>
      </c>
      <c r="M576" t="inlineStr">
        <is>
          <t>1973</t>
        </is>
      </c>
      <c r="O576" t="inlineStr">
        <is>
          <t>eng</t>
        </is>
      </c>
      <c r="P576" t="inlineStr">
        <is>
          <t>nju</t>
        </is>
      </c>
      <c r="Q576" t="inlineStr">
        <is>
          <t>A Spectrum book, S-265</t>
        </is>
      </c>
      <c r="R576" t="inlineStr">
        <is>
          <t xml:space="preserve">BF </t>
        </is>
      </c>
      <c r="S576" t="n">
        <v>5</v>
      </c>
      <c r="T576" t="n">
        <v>5</v>
      </c>
      <c r="U576" t="inlineStr">
        <is>
          <t>1997-03-02</t>
        </is>
      </c>
      <c r="V576" t="inlineStr">
        <is>
          <t>1997-03-02</t>
        </is>
      </c>
      <c r="W576" t="inlineStr">
        <is>
          <t>1996-07-23</t>
        </is>
      </c>
      <c r="X576" t="inlineStr">
        <is>
          <t>1996-07-23</t>
        </is>
      </c>
      <c r="Y576" t="n">
        <v>894</v>
      </c>
      <c r="Z576" t="n">
        <v>821</v>
      </c>
      <c r="AA576" t="n">
        <v>1119</v>
      </c>
      <c r="AB576" t="n">
        <v>4</v>
      </c>
      <c r="AC576" t="n">
        <v>6</v>
      </c>
      <c r="AD576" t="n">
        <v>27</v>
      </c>
      <c r="AE576" t="n">
        <v>33</v>
      </c>
      <c r="AF576" t="n">
        <v>16</v>
      </c>
      <c r="AG576" t="n">
        <v>16</v>
      </c>
      <c r="AH576" t="n">
        <v>3</v>
      </c>
      <c r="AI576" t="n">
        <v>6</v>
      </c>
      <c r="AJ576" t="n">
        <v>14</v>
      </c>
      <c r="AK576" t="n">
        <v>17</v>
      </c>
      <c r="AL576" t="n">
        <v>1</v>
      </c>
      <c r="AM576" t="n">
        <v>2</v>
      </c>
      <c r="AN576" t="n">
        <v>0</v>
      </c>
      <c r="AO576" t="n">
        <v>1</v>
      </c>
      <c r="AP576" t="inlineStr">
        <is>
          <t>No</t>
        </is>
      </c>
      <c r="AQ576" t="inlineStr">
        <is>
          <t>No</t>
        </is>
      </c>
      <c r="AS576">
        <f>HYPERLINK("https://creighton-primo.hosted.exlibrisgroup.com/primo-explore/search?tab=default_tab&amp;search_scope=EVERYTHING&amp;vid=01CRU&amp;lang=en_US&amp;offset=0&amp;query=any,contains,991002655959702656","Catalog Record")</f>
        <v/>
      </c>
      <c r="AT576">
        <f>HYPERLINK("http://www.worldcat.org/oclc/388753","WorldCat Record")</f>
        <v/>
      </c>
      <c r="AU576" t="inlineStr">
        <is>
          <t>410287:eng</t>
        </is>
      </c>
      <c r="AV576" t="inlineStr">
        <is>
          <t>388753</t>
        </is>
      </c>
      <c r="AW576" t="inlineStr">
        <is>
          <t>991002655959702656</t>
        </is>
      </c>
      <c r="AX576" t="inlineStr">
        <is>
          <t>991002655959702656</t>
        </is>
      </c>
      <c r="AY576" t="inlineStr">
        <is>
          <t>2254790530002656</t>
        </is>
      </c>
      <c r="AZ576" t="inlineStr">
        <is>
          <t>BOOK</t>
        </is>
      </c>
      <c r="BB576" t="inlineStr">
        <is>
          <t>9780130795908</t>
        </is>
      </c>
      <c r="BC576" t="inlineStr">
        <is>
          <t>32285002233723</t>
        </is>
      </c>
      <c r="BD576" t="inlineStr">
        <is>
          <t>893792729</t>
        </is>
      </c>
    </row>
    <row r="577">
      <c r="A577" t="inlineStr">
        <is>
          <t>No</t>
        </is>
      </c>
      <c r="B577" t="inlineStr">
        <is>
          <t>BF455 .A52</t>
        </is>
      </c>
      <c r="C577" t="inlineStr">
        <is>
          <t>0                      BF 0455000A  52</t>
        </is>
      </c>
      <c r="D577" t="inlineStr">
        <is>
          <t>Language, memory, and thought / John R. Anderson.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Anderson, John R. (John Robert), 1947-</t>
        </is>
      </c>
      <c r="L577" t="inlineStr">
        <is>
          <t>Hillsdale, N.J. : L. Erlbaum Associates ; New York : distributed by the Halsted Press Division of Wiley, 1976.</t>
        </is>
      </c>
      <c r="M577" t="inlineStr">
        <is>
          <t>1976</t>
        </is>
      </c>
      <c r="O577" t="inlineStr">
        <is>
          <t>eng</t>
        </is>
      </c>
      <c r="P577" t="inlineStr">
        <is>
          <t>nju</t>
        </is>
      </c>
      <c r="Q577" t="inlineStr">
        <is>
          <t>The Experimental psychology series</t>
        </is>
      </c>
      <c r="R577" t="inlineStr">
        <is>
          <t xml:space="preserve">BF </t>
        </is>
      </c>
      <c r="S577" t="n">
        <v>4</v>
      </c>
      <c r="T577" t="n">
        <v>4</v>
      </c>
      <c r="U577" t="inlineStr">
        <is>
          <t>1996-11-24</t>
        </is>
      </c>
      <c r="V577" t="inlineStr">
        <is>
          <t>1996-11-24</t>
        </is>
      </c>
      <c r="W577" t="inlineStr">
        <is>
          <t>1996-07-30</t>
        </is>
      </c>
      <c r="X577" t="inlineStr">
        <is>
          <t>1996-07-30</t>
        </is>
      </c>
      <c r="Y577" t="n">
        <v>615</v>
      </c>
      <c r="Z577" t="n">
        <v>442</v>
      </c>
      <c r="AA577" t="n">
        <v>467</v>
      </c>
      <c r="AB577" t="n">
        <v>2</v>
      </c>
      <c r="AC577" t="n">
        <v>2</v>
      </c>
      <c r="AD577" t="n">
        <v>21</v>
      </c>
      <c r="AE577" t="n">
        <v>21</v>
      </c>
      <c r="AF577" t="n">
        <v>11</v>
      </c>
      <c r="AG577" t="n">
        <v>11</v>
      </c>
      <c r="AH577" t="n">
        <v>7</v>
      </c>
      <c r="AI577" t="n">
        <v>7</v>
      </c>
      <c r="AJ577" t="n">
        <v>9</v>
      </c>
      <c r="AK577" t="n">
        <v>9</v>
      </c>
      <c r="AL577" t="n">
        <v>1</v>
      </c>
      <c r="AM577" t="n">
        <v>1</v>
      </c>
      <c r="AN577" t="n">
        <v>0</v>
      </c>
      <c r="AO577" t="n">
        <v>0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HYPERLINK("http://catalog.hathitrust.org/Record/000739220","HathiTrust Record")</f>
        <v/>
      </c>
      <c r="AS577">
        <f>HYPERLINK("https://creighton-primo.hosted.exlibrisgroup.com/primo-explore/search?tab=default_tab&amp;search_scope=EVERYTHING&amp;vid=01CRU&amp;lang=en_US&amp;offset=0&amp;query=any,contains,991004083549702656","Catalog Record")</f>
        <v/>
      </c>
      <c r="AT577">
        <f>HYPERLINK("http://www.worldcat.org/oclc/2331424","WorldCat Record")</f>
        <v/>
      </c>
      <c r="AU577" t="inlineStr">
        <is>
          <t>554416:eng</t>
        </is>
      </c>
      <c r="AV577" t="inlineStr">
        <is>
          <t>2331424</t>
        </is>
      </c>
      <c r="AW577" t="inlineStr">
        <is>
          <t>991004083549702656</t>
        </is>
      </c>
      <c r="AX577" t="inlineStr">
        <is>
          <t>991004083549702656</t>
        </is>
      </c>
      <c r="AY577" t="inlineStr">
        <is>
          <t>2264212680002656</t>
        </is>
      </c>
      <c r="AZ577" t="inlineStr">
        <is>
          <t>BOOK</t>
        </is>
      </c>
      <c r="BB577" t="inlineStr">
        <is>
          <t>9780470151877</t>
        </is>
      </c>
      <c r="BC577" t="inlineStr">
        <is>
          <t>32285002249034</t>
        </is>
      </c>
      <c r="BD577" t="inlineStr">
        <is>
          <t>893593251</t>
        </is>
      </c>
    </row>
    <row r="578">
      <c r="A578" t="inlineStr">
        <is>
          <t>No</t>
        </is>
      </c>
      <c r="B578" t="inlineStr">
        <is>
          <t>BF455 .H4213</t>
        </is>
      </c>
      <c r="C578" t="inlineStr">
        <is>
          <t>0                      BF 0455000H  4213</t>
        </is>
      </c>
      <c r="D578" t="inlineStr">
        <is>
          <t>What is called thinking? With an introd. by J. Glenn Gray.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Heidegger, Martin, 1889-1976.</t>
        </is>
      </c>
      <c r="L578" t="inlineStr">
        <is>
          <t>New York, Harper &amp; Row [1968]</t>
        </is>
      </c>
      <c r="M578" t="inlineStr">
        <is>
          <t>1968</t>
        </is>
      </c>
      <c r="N578" t="inlineStr">
        <is>
          <t>[1st ed.]</t>
        </is>
      </c>
      <c r="O578" t="inlineStr">
        <is>
          <t>eng</t>
        </is>
      </c>
      <c r="P578" t="inlineStr">
        <is>
          <t>nyu</t>
        </is>
      </c>
      <c r="Q578" t="inlineStr">
        <is>
          <t>Religious perspectives ; v. 21</t>
        </is>
      </c>
      <c r="R578" t="inlineStr">
        <is>
          <t xml:space="preserve">BF </t>
        </is>
      </c>
      <c r="S578" t="n">
        <v>1</v>
      </c>
      <c r="T578" t="n">
        <v>1</v>
      </c>
      <c r="U578" t="inlineStr">
        <is>
          <t>2009-04-16</t>
        </is>
      </c>
      <c r="V578" t="inlineStr">
        <is>
          <t>2009-04-16</t>
        </is>
      </c>
      <c r="W578" t="inlineStr">
        <is>
          <t>1996-07-30</t>
        </is>
      </c>
      <c r="X578" t="inlineStr">
        <is>
          <t>1996-07-30</t>
        </is>
      </c>
      <c r="Y578" t="n">
        <v>1038</v>
      </c>
      <c r="Z578" t="n">
        <v>912</v>
      </c>
      <c r="AA578" t="n">
        <v>1031</v>
      </c>
      <c r="AB578" t="n">
        <v>5</v>
      </c>
      <c r="AC578" t="n">
        <v>5</v>
      </c>
      <c r="AD578" t="n">
        <v>42</v>
      </c>
      <c r="AE578" t="n">
        <v>43</v>
      </c>
      <c r="AF578" t="n">
        <v>17</v>
      </c>
      <c r="AG578" t="n">
        <v>18</v>
      </c>
      <c r="AH578" t="n">
        <v>9</v>
      </c>
      <c r="AI578" t="n">
        <v>9</v>
      </c>
      <c r="AJ578" t="n">
        <v>25</v>
      </c>
      <c r="AK578" t="n">
        <v>25</v>
      </c>
      <c r="AL578" t="n">
        <v>3</v>
      </c>
      <c r="AM578" t="n">
        <v>3</v>
      </c>
      <c r="AN578" t="n">
        <v>0</v>
      </c>
      <c r="AO578" t="n">
        <v>0</v>
      </c>
      <c r="AP578" t="inlineStr">
        <is>
          <t>No</t>
        </is>
      </c>
      <c r="AQ578" t="inlineStr">
        <is>
          <t>Yes</t>
        </is>
      </c>
      <c r="AR578">
        <f>HYPERLINK("http://catalog.hathitrust.org/Record/000358765","HathiTrust Record")</f>
        <v/>
      </c>
      <c r="AS578">
        <f>HYPERLINK("https://creighton-primo.hosted.exlibrisgroup.com/primo-explore/search?tab=default_tab&amp;search_scope=EVERYTHING&amp;vid=01CRU&amp;lang=en_US&amp;offset=0&amp;query=any,contains,991002158269702656","Catalog Record")</f>
        <v/>
      </c>
      <c r="AT578">
        <f>HYPERLINK("http://www.worldcat.org/oclc/273314","WorldCat Record")</f>
        <v/>
      </c>
      <c r="AU578" t="inlineStr">
        <is>
          <t>10596103797:eng</t>
        </is>
      </c>
      <c r="AV578" t="inlineStr">
        <is>
          <t>273314</t>
        </is>
      </c>
      <c r="AW578" t="inlineStr">
        <is>
          <t>991002158269702656</t>
        </is>
      </c>
      <c r="AX578" t="inlineStr">
        <is>
          <t>991002158269702656</t>
        </is>
      </c>
      <c r="AY578" t="inlineStr">
        <is>
          <t>2262015950002656</t>
        </is>
      </c>
      <c r="AZ578" t="inlineStr">
        <is>
          <t>BOOK</t>
        </is>
      </c>
      <c r="BC578" t="inlineStr">
        <is>
          <t>32285002249224</t>
        </is>
      </c>
      <c r="BD578" t="inlineStr">
        <is>
          <t>893603254</t>
        </is>
      </c>
    </row>
    <row r="579">
      <c r="A579" t="inlineStr">
        <is>
          <t>No</t>
        </is>
      </c>
      <c r="B579" t="inlineStr">
        <is>
          <t>BF455 .L8 1982</t>
        </is>
      </c>
      <c r="C579" t="inlineStr">
        <is>
          <t>0                      BF 0455000L  8           1982</t>
        </is>
      </c>
      <c r="D579" t="inlineStr">
        <is>
          <t>Language and cognition / Alexander R. Luria ; edited by James V. Wertsch.</t>
        </is>
      </c>
      <c r="F579" t="inlineStr">
        <is>
          <t>No</t>
        </is>
      </c>
      <c r="G579" t="inlineStr">
        <is>
          <t>1</t>
        </is>
      </c>
      <c r="H579" t="inlineStr">
        <is>
          <t>Yes</t>
        </is>
      </c>
      <c r="I579" t="inlineStr">
        <is>
          <t>No</t>
        </is>
      </c>
      <c r="J579" t="inlineStr">
        <is>
          <t>0</t>
        </is>
      </c>
      <c r="K579" t="inlineStr">
        <is>
          <t>Lurii︠a︡, A. R. (Aleksandr Romanovich), 1902-1977.</t>
        </is>
      </c>
      <c r="L579" t="inlineStr">
        <is>
          <t>Washington, D.C. : V.H. Winston ; New York : John Wiley, 1981, c1982.</t>
        </is>
      </c>
      <c r="M579" t="inlineStr">
        <is>
          <t>1981</t>
        </is>
      </c>
      <c r="O579" t="inlineStr">
        <is>
          <t>eng</t>
        </is>
      </c>
      <c r="P579" t="inlineStr">
        <is>
          <t>dcu</t>
        </is>
      </c>
      <c r="R579" t="inlineStr">
        <is>
          <t xml:space="preserve">BF </t>
        </is>
      </c>
      <c r="S579" t="n">
        <v>5</v>
      </c>
      <c r="T579" t="n">
        <v>8</v>
      </c>
      <c r="U579" t="inlineStr">
        <is>
          <t>1995-03-26</t>
        </is>
      </c>
      <c r="V579" t="inlineStr">
        <is>
          <t>1997-12-03</t>
        </is>
      </c>
      <c r="W579" t="inlineStr">
        <is>
          <t>1991-07-31</t>
        </is>
      </c>
      <c r="X579" t="inlineStr">
        <is>
          <t>1991-07-31</t>
        </is>
      </c>
      <c r="Y579" t="n">
        <v>857</v>
      </c>
      <c r="Z579" t="n">
        <v>785</v>
      </c>
      <c r="AA579" t="n">
        <v>800</v>
      </c>
      <c r="AB579" t="n">
        <v>7</v>
      </c>
      <c r="AC579" t="n">
        <v>7</v>
      </c>
      <c r="AD579" t="n">
        <v>43</v>
      </c>
      <c r="AE579" t="n">
        <v>43</v>
      </c>
      <c r="AF579" t="n">
        <v>18</v>
      </c>
      <c r="AG579" t="n">
        <v>18</v>
      </c>
      <c r="AH579" t="n">
        <v>11</v>
      </c>
      <c r="AI579" t="n">
        <v>11</v>
      </c>
      <c r="AJ579" t="n">
        <v>21</v>
      </c>
      <c r="AK579" t="n">
        <v>21</v>
      </c>
      <c r="AL579" t="n">
        <v>5</v>
      </c>
      <c r="AM579" t="n">
        <v>5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HYPERLINK("https://creighton-primo.hosted.exlibrisgroup.com/primo-explore/search?tab=default_tab&amp;search_scope=EVERYTHING&amp;vid=01CRU&amp;lang=en_US&amp;offset=0&amp;query=any,contains,991001762209702656","Catalog Record")</f>
        <v/>
      </c>
      <c r="AT579">
        <f>HYPERLINK("http://www.worldcat.org/oclc/8155099","WorldCat Record")</f>
        <v/>
      </c>
      <c r="AU579" t="inlineStr">
        <is>
          <t>144652433:eng</t>
        </is>
      </c>
      <c r="AV579" t="inlineStr">
        <is>
          <t>8155099</t>
        </is>
      </c>
      <c r="AW579" t="inlineStr">
        <is>
          <t>991001762209702656</t>
        </is>
      </c>
      <c r="AX579" t="inlineStr">
        <is>
          <t>991001762209702656</t>
        </is>
      </c>
      <c r="AY579" t="inlineStr">
        <is>
          <t>2272596590002656</t>
        </is>
      </c>
      <c r="AZ579" t="inlineStr">
        <is>
          <t>BOOK</t>
        </is>
      </c>
      <c r="BB579" t="inlineStr">
        <is>
          <t>9780471093022</t>
        </is>
      </c>
      <c r="BC579" t="inlineStr">
        <is>
          <t>32285000680370</t>
        </is>
      </c>
      <c r="BD579" t="inlineStr">
        <is>
          <t>893879149</t>
        </is>
      </c>
    </row>
    <row r="580">
      <c r="A580" t="inlineStr">
        <is>
          <t>No</t>
        </is>
      </c>
      <c r="B580" t="inlineStr">
        <is>
          <t>BF455 .M23</t>
        </is>
      </c>
      <c r="C580" t="inlineStr">
        <is>
          <t>0                      BF 0455000M  23</t>
        </is>
      </c>
      <c r="D580" t="inlineStr">
        <is>
          <t>Experiences in visual thinking [by] Robert H. McKim.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McKim, Robert H.</t>
        </is>
      </c>
      <c r="L580" t="inlineStr">
        <is>
          <t>Monterey, Calif., Brooks/Cole Pub. Co. [1972]</t>
        </is>
      </c>
      <c r="M580" t="inlineStr">
        <is>
          <t>1972</t>
        </is>
      </c>
      <c r="O580" t="inlineStr">
        <is>
          <t>eng</t>
        </is>
      </c>
      <c r="P580" t="inlineStr">
        <is>
          <t>cau</t>
        </is>
      </c>
      <c r="R580" t="inlineStr">
        <is>
          <t xml:space="preserve">BF </t>
        </is>
      </c>
      <c r="S580" t="n">
        <v>3</v>
      </c>
      <c r="T580" t="n">
        <v>3</v>
      </c>
      <c r="U580" t="inlineStr">
        <is>
          <t>2010-01-24</t>
        </is>
      </c>
      <c r="V580" t="inlineStr">
        <is>
          <t>2010-01-24</t>
        </is>
      </c>
      <c r="W580" t="inlineStr">
        <is>
          <t>1996-07-30</t>
        </is>
      </c>
      <c r="X580" t="inlineStr">
        <is>
          <t>1996-07-30</t>
        </is>
      </c>
      <c r="Y580" t="n">
        <v>638</v>
      </c>
      <c r="Z580" t="n">
        <v>529</v>
      </c>
      <c r="AA580" t="n">
        <v>879</v>
      </c>
      <c r="AB580" t="n">
        <v>3</v>
      </c>
      <c r="AC580" t="n">
        <v>3</v>
      </c>
      <c r="AD580" t="n">
        <v>16</v>
      </c>
      <c r="AE580" t="n">
        <v>24</v>
      </c>
      <c r="AF580" t="n">
        <v>7</v>
      </c>
      <c r="AG580" t="n">
        <v>11</v>
      </c>
      <c r="AH580" t="n">
        <v>4</v>
      </c>
      <c r="AI580" t="n">
        <v>4</v>
      </c>
      <c r="AJ580" t="n">
        <v>8</v>
      </c>
      <c r="AK580" t="n">
        <v>13</v>
      </c>
      <c r="AL580" t="n">
        <v>2</v>
      </c>
      <c r="AM580" t="n">
        <v>2</v>
      </c>
      <c r="AN580" t="n">
        <v>0</v>
      </c>
      <c r="AO580" t="n">
        <v>0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HYPERLINK("http://catalog.hathitrust.org/Record/000359183","HathiTrust Record")</f>
        <v/>
      </c>
      <c r="AS580">
        <f>HYPERLINK("https://creighton-primo.hosted.exlibrisgroup.com/primo-explore/search?tab=default_tab&amp;search_scope=EVERYTHING&amp;vid=01CRU&amp;lang=en_US&amp;offset=0&amp;query=any,contains,991002552519702656","Catalog Record")</f>
        <v/>
      </c>
      <c r="AT580">
        <f>HYPERLINK("http://www.worldcat.org/oclc/370358","WorldCat Record")</f>
        <v/>
      </c>
      <c r="AU580" t="inlineStr">
        <is>
          <t>482757:eng</t>
        </is>
      </c>
      <c r="AV580" t="inlineStr">
        <is>
          <t>370358</t>
        </is>
      </c>
      <c r="AW580" t="inlineStr">
        <is>
          <t>991002552519702656</t>
        </is>
      </c>
      <c r="AX580" t="inlineStr">
        <is>
          <t>991002552519702656</t>
        </is>
      </c>
      <c r="AY580" t="inlineStr">
        <is>
          <t>2260463240002656</t>
        </is>
      </c>
      <c r="AZ580" t="inlineStr">
        <is>
          <t>BOOK</t>
        </is>
      </c>
      <c r="BB580" t="inlineStr">
        <is>
          <t>9780818500312</t>
        </is>
      </c>
      <c r="BC580" t="inlineStr">
        <is>
          <t>32285002249299</t>
        </is>
      </c>
      <c r="BD580" t="inlineStr">
        <is>
          <t>893898912</t>
        </is>
      </c>
    </row>
    <row r="581">
      <c r="A581" t="inlineStr">
        <is>
          <t>No</t>
        </is>
      </c>
      <c r="B581" t="inlineStr">
        <is>
          <t>BF455 .M3</t>
        </is>
      </c>
      <c r="C581" t="inlineStr">
        <is>
          <t>0                      BF 0455000M  3</t>
        </is>
      </c>
      <c r="D581" t="inlineStr">
        <is>
          <t>Thinking : from association to Gestalt / [by] Jean Matter Mandler and George Mandler.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Mandler, Jean Matter, editor.</t>
        </is>
      </c>
      <c r="L581" t="inlineStr">
        <is>
          <t>New York : Wiley, [1964]</t>
        </is>
      </c>
      <c r="M581" t="inlineStr">
        <is>
          <t>1964</t>
        </is>
      </c>
      <c r="O581" t="inlineStr">
        <is>
          <t>eng</t>
        </is>
      </c>
      <c r="P581" t="inlineStr">
        <is>
          <t>nyu</t>
        </is>
      </c>
      <c r="Q581" t="inlineStr">
        <is>
          <t>Perspectives in psychology</t>
        </is>
      </c>
      <c r="R581" t="inlineStr">
        <is>
          <t xml:space="preserve">BF </t>
        </is>
      </c>
      <c r="S581" t="n">
        <v>3</v>
      </c>
      <c r="T581" t="n">
        <v>3</v>
      </c>
      <c r="U581" t="inlineStr">
        <is>
          <t>1996-04-09</t>
        </is>
      </c>
      <c r="V581" t="inlineStr">
        <is>
          <t>1996-04-09</t>
        </is>
      </c>
      <c r="W581" t="inlineStr">
        <is>
          <t>1991-05-20</t>
        </is>
      </c>
      <c r="X581" t="inlineStr">
        <is>
          <t>1991-05-20</t>
        </is>
      </c>
      <c r="Y581" t="n">
        <v>684</v>
      </c>
      <c r="Z581" t="n">
        <v>569</v>
      </c>
      <c r="AA581" t="n">
        <v>575</v>
      </c>
      <c r="AB581" t="n">
        <v>6</v>
      </c>
      <c r="AC581" t="n">
        <v>6</v>
      </c>
      <c r="AD581" t="n">
        <v>28</v>
      </c>
      <c r="AE581" t="n">
        <v>28</v>
      </c>
      <c r="AF581" t="n">
        <v>12</v>
      </c>
      <c r="AG581" t="n">
        <v>12</v>
      </c>
      <c r="AH581" t="n">
        <v>5</v>
      </c>
      <c r="AI581" t="n">
        <v>5</v>
      </c>
      <c r="AJ581" t="n">
        <v>12</v>
      </c>
      <c r="AK581" t="n">
        <v>12</v>
      </c>
      <c r="AL581" t="n">
        <v>5</v>
      </c>
      <c r="AM581" t="n">
        <v>5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HYPERLINK("http://catalog.hathitrust.org/Record/000384542","HathiTrust Record")</f>
        <v/>
      </c>
      <c r="AS581">
        <f>HYPERLINK("https://creighton-primo.hosted.exlibrisgroup.com/primo-explore/search?tab=default_tab&amp;search_scope=EVERYTHING&amp;vid=01CRU&amp;lang=en_US&amp;offset=0&amp;query=any,contains,991001371669702656","Catalog Record")</f>
        <v/>
      </c>
      <c r="AT581">
        <f>HYPERLINK("http://www.worldcat.org/oclc/223864","WorldCat Record")</f>
        <v/>
      </c>
      <c r="AU581" t="inlineStr">
        <is>
          <t>4820549636:eng</t>
        </is>
      </c>
      <c r="AV581" t="inlineStr">
        <is>
          <t>223864</t>
        </is>
      </c>
      <c r="AW581" t="inlineStr">
        <is>
          <t>991001371669702656</t>
        </is>
      </c>
      <c r="AX581" t="inlineStr">
        <is>
          <t>991001371669702656</t>
        </is>
      </c>
      <c r="AY581" t="inlineStr">
        <is>
          <t>2264201530002656</t>
        </is>
      </c>
      <c r="AZ581" t="inlineStr">
        <is>
          <t>BOOK</t>
        </is>
      </c>
      <c r="BC581" t="inlineStr">
        <is>
          <t>32285000597582</t>
        </is>
      </c>
      <c r="BD581" t="inlineStr">
        <is>
          <t>893238072</t>
        </is>
      </c>
    </row>
    <row r="582">
      <c r="A582" t="inlineStr">
        <is>
          <t>No</t>
        </is>
      </c>
      <c r="B582" t="inlineStr">
        <is>
          <t>BF455 .N53 1985</t>
        </is>
      </c>
      <c r="C582" t="inlineStr">
        <is>
          <t>0                      BF 0455000N  53          1985</t>
        </is>
      </c>
      <c r="D582" t="inlineStr">
        <is>
          <t>The teaching of thinking / Raymond S. Nickerson, David N. Perkins, Edward E. Smith.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K582" t="inlineStr">
        <is>
          <t>Nickerson, Raymond S.</t>
        </is>
      </c>
      <c r="L582" t="inlineStr">
        <is>
          <t>Hillsdale, N.J. : L. Erlbaum Associates, 1985.</t>
        </is>
      </c>
      <c r="M582" t="inlineStr">
        <is>
          <t>1985</t>
        </is>
      </c>
      <c r="O582" t="inlineStr">
        <is>
          <t>eng</t>
        </is>
      </c>
      <c r="P582" t="inlineStr">
        <is>
          <t>nju</t>
        </is>
      </c>
      <c r="R582" t="inlineStr">
        <is>
          <t xml:space="preserve">BF </t>
        </is>
      </c>
      <c r="S582" t="n">
        <v>5</v>
      </c>
      <c r="T582" t="n">
        <v>5</v>
      </c>
      <c r="U582" t="inlineStr">
        <is>
          <t>1997-06-13</t>
        </is>
      </c>
      <c r="V582" t="inlineStr">
        <is>
          <t>1997-06-13</t>
        </is>
      </c>
      <c r="W582" t="inlineStr">
        <is>
          <t>1993-03-18</t>
        </is>
      </c>
      <c r="X582" t="inlineStr">
        <is>
          <t>1993-03-18</t>
        </is>
      </c>
      <c r="Y582" t="n">
        <v>872</v>
      </c>
      <c r="Z582" t="n">
        <v>718</v>
      </c>
      <c r="AA582" t="n">
        <v>741</v>
      </c>
      <c r="AB582" t="n">
        <v>7</v>
      </c>
      <c r="AC582" t="n">
        <v>7</v>
      </c>
      <c r="AD582" t="n">
        <v>36</v>
      </c>
      <c r="AE582" t="n">
        <v>36</v>
      </c>
      <c r="AF582" t="n">
        <v>14</v>
      </c>
      <c r="AG582" t="n">
        <v>14</v>
      </c>
      <c r="AH582" t="n">
        <v>8</v>
      </c>
      <c r="AI582" t="n">
        <v>8</v>
      </c>
      <c r="AJ582" t="n">
        <v>17</v>
      </c>
      <c r="AK582" t="n">
        <v>17</v>
      </c>
      <c r="AL582" t="n">
        <v>6</v>
      </c>
      <c r="AM582" t="n">
        <v>6</v>
      </c>
      <c r="AN582" t="n">
        <v>0</v>
      </c>
      <c r="AO582" t="n">
        <v>0</v>
      </c>
      <c r="AP582" t="inlineStr">
        <is>
          <t>No</t>
        </is>
      </c>
      <c r="AQ582" t="inlineStr">
        <is>
          <t>Yes</t>
        </is>
      </c>
      <c r="AR582">
        <f>HYPERLINK("http://catalog.hathitrust.org/Record/000424530","HathiTrust Record")</f>
        <v/>
      </c>
      <c r="AS582">
        <f>HYPERLINK("https://creighton-primo.hosted.exlibrisgroup.com/primo-explore/search?tab=default_tab&amp;search_scope=EVERYTHING&amp;vid=01CRU&amp;lang=en_US&amp;offset=0&amp;query=any,contains,991000667059702656","Catalog Record")</f>
        <v/>
      </c>
      <c r="AT582">
        <f>HYPERLINK("http://www.worldcat.org/oclc/12285995","WorldCat Record")</f>
        <v/>
      </c>
      <c r="AU582" t="inlineStr">
        <is>
          <t>63782:eng</t>
        </is>
      </c>
      <c r="AV582" t="inlineStr">
        <is>
          <t>12285995</t>
        </is>
      </c>
      <c r="AW582" t="inlineStr">
        <is>
          <t>991000667059702656</t>
        </is>
      </c>
      <c r="AX582" t="inlineStr">
        <is>
          <t>991000667059702656</t>
        </is>
      </c>
      <c r="AY582" t="inlineStr">
        <is>
          <t>2257208420002656</t>
        </is>
      </c>
      <c r="AZ582" t="inlineStr">
        <is>
          <t>BOOK</t>
        </is>
      </c>
      <c r="BB582" t="inlineStr">
        <is>
          <t>9780898595390</t>
        </is>
      </c>
      <c r="BC582" t="inlineStr">
        <is>
          <t>32285001575256</t>
        </is>
      </c>
      <c r="BD582" t="inlineStr">
        <is>
          <t>893589650</t>
        </is>
      </c>
    </row>
    <row r="583">
      <c r="A583" t="inlineStr">
        <is>
          <t>No</t>
        </is>
      </c>
      <c r="B583" t="inlineStr">
        <is>
          <t>BF455 .O4 1938</t>
        </is>
      </c>
      <c r="C583" t="inlineStr">
        <is>
          <t>0                      BF 0455000O  4           1938</t>
        </is>
      </c>
      <c r="D583" t="inlineStr">
        <is>
          <t>The meaning of meaning : a study of the influence of language upon thought and of the science of symbolism / by C.K. Ogden and I.A. Richards, with supplementary essays by B. Malinowski and F.G. Crookshank.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Ogden, C. K. (Charles Kay), 1889-1957.</t>
        </is>
      </c>
      <c r="L583" t="inlineStr">
        <is>
          <t>New York : Harcourt, Brace &amp; company, [1938]</t>
        </is>
      </c>
      <c r="M583" t="inlineStr">
        <is>
          <t>1938</t>
        </is>
      </c>
      <c r="N583" t="inlineStr">
        <is>
          <t>5th ed.</t>
        </is>
      </c>
      <c r="O583" t="inlineStr">
        <is>
          <t>eng</t>
        </is>
      </c>
      <c r="P583" t="inlineStr">
        <is>
          <t>nyu</t>
        </is>
      </c>
      <c r="Q583" t="inlineStr">
        <is>
          <t>International library of psychology, philosophy, and scientific method</t>
        </is>
      </c>
      <c r="R583" t="inlineStr">
        <is>
          <t xml:space="preserve">BF </t>
        </is>
      </c>
      <c r="S583" t="n">
        <v>4</v>
      </c>
      <c r="T583" t="n">
        <v>4</v>
      </c>
      <c r="U583" t="inlineStr">
        <is>
          <t>2003-09-28</t>
        </is>
      </c>
      <c r="V583" t="inlineStr">
        <is>
          <t>2003-09-28</t>
        </is>
      </c>
      <c r="W583" t="inlineStr">
        <is>
          <t>1996-04-24</t>
        </is>
      </c>
      <c r="X583" t="inlineStr">
        <is>
          <t>1996-04-24</t>
        </is>
      </c>
      <c r="Y583" t="n">
        <v>85</v>
      </c>
      <c r="Z583" t="n">
        <v>81</v>
      </c>
      <c r="AA583" t="n">
        <v>1398</v>
      </c>
      <c r="AB583" t="n">
        <v>1</v>
      </c>
      <c r="AC583" t="n">
        <v>10</v>
      </c>
      <c r="AD583" t="n">
        <v>4</v>
      </c>
      <c r="AE583" t="n">
        <v>60</v>
      </c>
      <c r="AF583" t="n">
        <v>3</v>
      </c>
      <c r="AG583" t="n">
        <v>25</v>
      </c>
      <c r="AH583" t="n">
        <v>0</v>
      </c>
      <c r="AI583" t="n">
        <v>9</v>
      </c>
      <c r="AJ583" t="n">
        <v>3</v>
      </c>
      <c r="AK583" t="n">
        <v>24</v>
      </c>
      <c r="AL583" t="n">
        <v>0</v>
      </c>
      <c r="AM583" t="n">
        <v>9</v>
      </c>
      <c r="AN583" t="n">
        <v>0</v>
      </c>
      <c r="AO583" t="n">
        <v>5</v>
      </c>
      <c r="AP583" t="inlineStr">
        <is>
          <t>No</t>
        </is>
      </c>
      <c r="AQ583" t="inlineStr">
        <is>
          <t>No</t>
        </is>
      </c>
      <c r="AR583">
        <f>HYPERLINK("http://catalog.hathitrust.org/Record/102290694","HathiTrust Record")</f>
        <v/>
      </c>
      <c r="AS583">
        <f>HYPERLINK("https://creighton-primo.hosted.exlibrisgroup.com/primo-explore/search?tab=default_tab&amp;search_scope=EVERYTHING&amp;vid=01CRU&amp;lang=en_US&amp;offset=0&amp;query=any,contains,991003762829702656","Catalog Record")</f>
        <v/>
      </c>
      <c r="AT583">
        <f>HYPERLINK("http://www.worldcat.org/oclc/1452981","WorldCat Record")</f>
        <v/>
      </c>
      <c r="AU583" t="inlineStr">
        <is>
          <t>1649167:eng</t>
        </is>
      </c>
      <c r="AV583" t="inlineStr">
        <is>
          <t>1452981</t>
        </is>
      </c>
      <c r="AW583" t="inlineStr">
        <is>
          <t>991003762829702656</t>
        </is>
      </c>
      <c r="AX583" t="inlineStr">
        <is>
          <t>991003762829702656</t>
        </is>
      </c>
      <c r="AY583" t="inlineStr">
        <is>
          <t>2257842540002656</t>
        </is>
      </c>
      <c r="AZ583" t="inlineStr">
        <is>
          <t>BOOK</t>
        </is>
      </c>
      <c r="BC583" t="inlineStr">
        <is>
          <t>32285002160025</t>
        </is>
      </c>
      <c r="BD583" t="inlineStr">
        <is>
          <t>893531563</t>
        </is>
      </c>
    </row>
    <row r="584">
      <c r="A584" t="inlineStr">
        <is>
          <t>No</t>
        </is>
      </c>
      <c r="B584" t="inlineStr">
        <is>
          <t>BF455 .O45 1967</t>
        </is>
      </c>
      <c r="C584" t="inlineStr">
        <is>
          <t>0                      BF 0455000O  45          1967</t>
        </is>
      </c>
      <c r="D584" t="inlineStr">
        <is>
          <t>Opposition, a linguistic and psychological analysis [by] C. K. Ogden. With a new introd. by I. A. Richards.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Ogden, C. K. (Charles Kay), 1889-1957.</t>
        </is>
      </c>
      <c r="L584" t="inlineStr">
        <is>
          <t>Bloomington, Indiana University Press [1967]</t>
        </is>
      </c>
      <c r="M584" t="inlineStr">
        <is>
          <t>1967</t>
        </is>
      </c>
      <c r="N584" t="inlineStr">
        <is>
          <t>[1st Midland book ed.]</t>
        </is>
      </c>
      <c r="O584" t="inlineStr">
        <is>
          <t>eng</t>
        </is>
      </c>
      <c r="P584" t="inlineStr">
        <is>
          <t>inu</t>
        </is>
      </c>
      <c r="R584" t="inlineStr">
        <is>
          <t xml:space="preserve">BF </t>
        </is>
      </c>
      <c r="S584" t="n">
        <v>1</v>
      </c>
      <c r="T584" t="n">
        <v>1</v>
      </c>
      <c r="U584" t="inlineStr">
        <is>
          <t>2004-11-22</t>
        </is>
      </c>
      <c r="V584" t="inlineStr">
        <is>
          <t>2004-11-22</t>
        </is>
      </c>
      <c r="W584" t="inlineStr">
        <is>
          <t>1996-07-30</t>
        </is>
      </c>
      <c r="X584" t="inlineStr">
        <is>
          <t>1996-07-30</t>
        </is>
      </c>
      <c r="Y584" t="n">
        <v>443</v>
      </c>
      <c r="Z584" t="n">
        <v>353</v>
      </c>
      <c r="AA584" t="n">
        <v>380</v>
      </c>
      <c r="AB584" t="n">
        <v>5</v>
      </c>
      <c r="AC584" t="n">
        <v>5</v>
      </c>
      <c r="AD584" t="n">
        <v>20</v>
      </c>
      <c r="AE584" t="n">
        <v>21</v>
      </c>
      <c r="AF584" t="n">
        <v>4</v>
      </c>
      <c r="AG584" t="n">
        <v>4</v>
      </c>
      <c r="AH584" t="n">
        <v>6</v>
      </c>
      <c r="AI584" t="n">
        <v>6</v>
      </c>
      <c r="AJ584" t="n">
        <v>12</v>
      </c>
      <c r="AK584" t="n">
        <v>13</v>
      </c>
      <c r="AL584" t="n">
        <v>3</v>
      </c>
      <c r="AM584" t="n">
        <v>3</v>
      </c>
      <c r="AN584" t="n">
        <v>0</v>
      </c>
      <c r="AO584" t="n">
        <v>0</v>
      </c>
      <c r="AP584" t="inlineStr">
        <is>
          <t>No</t>
        </is>
      </c>
      <c r="AQ584" t="inlineStr">
        <is>
          <t>Yes</t>
        </is>
      </c>
      <c r="AR584">
        <f>HYPERLINK("http://catalog.hathitrust.org/Record/000030545","HathiTrust Record")</f>
        <v/>
      </c>
      <c r="AS584">
        <f>HYPERLINK("https://creighton-primo.hosted.exlibrisgroup.com/primo-explore/search?tab=default_tab&amp;search_scope=EVERYTHING&amp;vid=01CRU&amp;lang=en_US&amp;offset=0&amp;query=any,contains,991004001169702656","Catalog Record")</f>
        <v/>
      </c>
      <c r="AT584">
        <f>HYPERLINK("http://www.worldcat.org/oclc/2073808","WorldCat Record")</f>
        <v/>
      </c>
      <c r="AU584" t="inlineStr">
        <is>
          <t>22392689:eng</t>
        </is>
      </c>
      <c r="AV584" t="inlineStr">
        <is>
          <t>2073808</t>
        </is>
      </c>
      <c r="AW584" t="inlineStr">
        <is>
          <t>991004001169702656</t>
        </is>
      </c>
      <c r="AX584" t="inlineStr">
        <is>
          <t>991004001169702656</t>
        </is>
      </c>
      <c r="AY584" t="inlineStr">
        <is>
          <t>2255386880002656</t>
        </is>
      </c>
      <c r="AZ584" t="inlineStr">
        <is>
          <t>BOOK</t>
        </is>
      </c>
      <c r="BC584" t="inlineStr">
        <is>
          <t>32285002249372</t>
        </is>
      </c>
      <c r="BD584" t="inlineStr">
        <is>
          <t>893429525</t>
        </is>
      </c>
    </row>
    <row r="585">
      <c r="A585" t="inlineStr">
        <is>
          <t>No</t>
        </is>
      </c>
      <c r="B585" t="inlineStr">
        <is>
          <t>BF455 .R853 1986</t>
        </is>
      </c>
      <c r="C585" t="inlineStr">
        <is>
          <t>0                      BF 0455000R  853         1986</t>
        </is>
      </c>
      <c r="D585" t="inlineStr">
        <is>
          <t>Parallel distributed processing : explorations in the microstructure of cognition / David E. Rumelhart, James L. McClelland, and the PDP Research Group.</t>
        </is>
      </c>
      <c r="E585" t="inlineStr">
        <is>
          <t>V. 1</t>
        </is>
      </c>
      <c r="F585" t="inlineStr">
        <is>
          <t>Yes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Rumelhart, David E.</t>
        </is>
      </c>
      <c r="L585" t="inlineStr">
        <is>
          <t>Cambridge, Mass. : MIT Press, c1986, 1988 printing.</t>
        </is>
      </c>
      <c r="M585" t="inlineStr">
        <is>
          <t>1986</t>
        </is>
      </c>
      <c r="O585" t="inlineStr">
        <is>
          <t>eng</t>
        </is>
      </c>
      <c r="P585" t="inlineStr">
        <is>
          <t>mau</t>
        </is>
      </c>
      <c r="Q585" t="inlineStr">
        <is>
          <t>Computational models of cognition and perception</t>
        </is>
      </c>
      <c r="R585" t="inlineStr">
        <is>
          <t xml:space="preserve">BF </t>
        </is>
      </c>
      <c r="S585" t="n">
        <v>1</v>
      </c>
      <c r="T585" t="n">
        <v>7</v>
      </c>
      <c r="U585" t="inlineStr">
        <is>
          <t>1994-01-21</t>
        </is>
      </c>
      <c r="V585" t="inlineStr">
        <is>
          <t>2002-04-20</t>
        </is>
      </c>
      <c r="W585" t="inlineStr">
        <is>
          <t>1993-06-07</t>
        </is>
      </c>
      <c r="X585" t="inlineStr">
        <is>
          <t>1993-06-07</t>
        </is>
      </c>
      <c r="Y585" t="n">
        <v>978</v>
      </c>
      <c r="Z585" t="n">
        <v>763</v>
      </c>
      <c r="AA585" t="n">
        <v>800</v>
      </c>
      <c r="AB585" t="n">
        <v>6</v>
      </c>
      <c r="AC585" t="n">
        <v>6</v>
      </c>
      <c r="AD585" t="n">
        <v>36</v>
      </c>
      <c r="AE585" t="n">
        <v>36</v>
      </c>
      <c r="AF585" t="n">
        <v>17</v>
      </c>
      <c r="AG585" t="n">
        <v>17</v>
      </c>
      <c r="AH585" t="n">
        <v>9</v>
      </c>
      <c r="AI585" t="n">
        <v>9</v>
      </c>
      <c r="AJ585" t="n">
        <v>18</v>
      </c>
      <c r="AK585" t="n">
        <v>18</v>
      </c>
      <c r="AL585" t="n">
        <v>3</v>
      </c>
      <c r="AM585" t="n">
        <v>3</v>
      </c>
      <c r="AN585" t="n">
        <v>0</v>
      </c>
      <c r="AO585" t="n">
        <v>0</v>
      </c>
      <c r="AP585" t="inlineStr">
        <is>
          <t>No</t>
        </is>
      </c>
      <c r="AQ585" t="inlineStr">
        <is>
          <t>No</t>
        </is>
      </c>
      <c r="AS585">
        <f>HYPERLINK("https://creighton-primo.hosted.exlibrisgroup.com/primo-explore/search?tab=default_tab&amp;search_scope=EVERYTHING&amp;vid=01CRU&amp;lang=en_US&amp;offset=0&amp;query=any,contains,991001762259702656","Catalog Record")</f>
        <v/>
      </c>
      <c r="AT585">
        <f>HYPERLINK("http://www.worldcat.org/oclc/12837549","WorldCat Record")</f>
        <v/>
      </c>
      <c r="AU585" t="inlineStr">
        <is>
          <t>2864462756:eng</t>
        </is>
      </c>
      <c r="AV585" t="inlineStr">
        <is>
          <t>12837549</t>
        </is>
      </c>
      <c r="AW585" t="inlineStr">
        <is>
          <t>991001762259702656</t>
        </is>
      </c>
      <c r="AX585" t="inlineStr">
        <is>
          <t>991001762259702656</t>
        </is>
      </c>
      <c r="AY585" t="inlineStr">
        <is>
          <t>2272126860002656</t>
        </is>
      </c>
      <c r="AZ585" t="inlineStr">
        <is>
          <t>BOOK</t>
        </is>
      </c>
      <c r="BB585" t="inlineStr">
        <is>
          <t>9780262132183</t>
        </is>
      </c>
      <c r="BC585" t="inlineStr">
        <is>
          <t>32285001719789</t>
        </is>
      </c>
      <c r="BD585" t="inlineStr">
        <is>
          <t>893898036</t>
        </is>
      </c>
    </row>
    <row r="586">
      <c r="A586" t="inlineStr">
        <is>
          <t>No</t>
        </is>
      </c>
      <c r="B586" t="inlineStr">
        <is>
          <t>BF455 .R853 1986</t>
        </is>
      </c>
      <c r="C586" t="inlineStr">
        <is>
          <t>0                      BF 0455000R  853         1986</t>
        </is>
      </c>
      <c r="D586" t="inlineStr">
        <is>
          <t>Parallel distributed processing : explorations in the microstructure of cognition / David E. Rumelhart, James L. McClelland, and the PDP Research Group.</t>
        </is>
      </c>
      <c r="E586" t="inlineStr">
        <is>
          <t>V. 2</t>
        </is>
      </c>
      <c r="F586" t="inlineStr">
        <is>
          <t>Yes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K586" t="inlineStr">
        <is>
          <t>Rumelhart, David E.</t>
        </is>
      </c>
      <c r="L586" t="inlineStr">
        <is>
          <t>Cambridge, Mass. : MIT Press, c1986, 1988 printing.</t>
        </is>
      </c>
      <c r="M586" t="inlineStr">
        <is>
          <t>1986</t>
        </is>
      </c>
      <c r="O586" t="inlineStr">
        <is>
          <t>eng</t>
        </is>
      </c>
      <c r="P586" t="inlineStr">
        <is>
          <t>mau</t>
        </is>
      </c>
      <c r="Q586" t="inlineStr">
        <is>
          <t>Computational models of cognition and perception</t>
        </is>
      </c>
      <c r="R586" t="inlineStr">
        <is>
          <t xml:space="preserve">BF </t>
        </is>
      </c>
      <c r="S586" t="n">
        <v>2</v>
      </c>
      <c r="T586" t="n">
        <v>7</v>
      </c>
      <c r="U586" t="inlineStr">
        <is>
          <t>1994-01-21</t>
        </is>
      </c>
      <c r="V586" t="inlineStr">
        <is>
          <t>2002-04-20</t>
        </is>
      </c>
      <c r="W586" t="inlineStr">
        <is>
          <t>1993-03-29</t>
        </is>
      </c>
      <c r="X586" t="inlineStr">
        <is>
          <t>1993-06-07</t>
        </is>
      </c>
      <c r="Y586" t="n">
        <v>978</v>
      </c>
      <c r="Z586" t="n">
        <v>763</v>
      </c>
      <c r="AA586" t="n">
        <v>800</v>
      </c>
      <c r="AB586" t="n">
        <v>6</v>
      </c>
      <c r="AC586" t="n">
        <v>6</v>
      </c>
      <c r="AD586" t="n">
        <v>36</v>
      </c>
      <c r="AE586" t="n">
        <v>36</v>
      </c>
      <c r="AF586" t="n">
        <v>17</v>
      </c>
      <c r="AG586" t="n">
        <v>17</v>
      </c>
      <c r="AH586" t="n">
        <v>9</v>
      </c>
      <c r="AI586" t="n">
        <v>9</v>
      </c>
      <c r="AJ586" t="n">
        <v>18</v>
      </c>
      <c r="AK586" t="n">
        <v>18</v>
      </c>
      <c r="AL586" t="n">
        <v>3</v>
      </c>
      <c r="AM586" t="n">
        <v>3</v>
      </c>
      <c r="AN586" t="n">
        <v>0</v>
      </c>
      <c r="AO586" t="n">
        <v>0</v>
      </c>
      <c r="AP586" t="inlineStr">
        <is>
          <t>No</t>
        </is>
      </c>
      <c r="AQ586" t="inlineStr">
        <is>
          <t>No</t>
        </is>
      </c>
      <c r="AS586">
        <f>HYPERLINK("https://creighton-primo.hosted.exlibrisgroup.com/primo-explore/search?tab=default_tab&amp;search_scope=EVERYTHING&amp;vid=01CRU&amp;lang=en_US&amp;offset=0&amp;query=any,contains,991001762259702656","Catalog Record")</f>
        <v/>
      </c>
      <c r="AT586">
        <f>HYPERLINK("http://www.worldcat.org/oclc/12837549","WorldCat Record")</f>
        <v/>
      </c>
      <c r="AU586" t="inlineStr">
        <is>
          <t>2864462756:eng</t>
        </is>
      </c>
      <c r="AV586" t="inlineStr">
        <is>
          <t>12837549</t>
        </is>
      </c>
      <c r="AW586" t="inlineStr">
        <is>
          <t>991001762259702656</t>
        </is>
      </c>
      <c r="AX586" t="inlineStr">
        <is>
          <t>991001762259702656</t>
        </is>
      </c>
      <c r="AY586" t="inlineStr">
        <is>
          <t>2272126860002656</t>
        </is>
      </c>
      <c r="AZ586" t="inlineStr">
        <is>
          <t>BOOK</t>
        </is>
      </c>
      <c r="BB586" t="inlineStr">
        <is>
          <t>9780262132183</t>
        </is>
      </c>
      <c r="BC586" t="inlineStr">
        <is>
          <t>32285001592681</t>
        </is>
      </c>
      <c r="BD586" t="inlineStr">
        <is>
          <t>893885520</t>
        </is>
      </c>
    </row>
    <row r="587">
      <c r="A587" t="inlineStr">
        <is>
          <t>No</t>
        </is>
      </c>
      <c r="B587" t="inlineStr">
        <is>
          <t>BF455 .T524 1983</t>
        </is>
      </c>
      <c r="C587" t="inlineStr">
        <is>
          <t>0                      BF 0455000T  524         1983</t>
        </is>
      </c>
      <c r="D587" t="inlineStr">
        <is>
          <t>Thinking and reasoning : psychological approaches / edited by Jonathan St. B.T. Evans.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L587" t="inlineStr">
        <is>
          <t>London ; Boston : Routledge &amp; Kegan Paul, 1983.</t>
        </is>
      </c>
      <c r="M587" t="inlineStr">
        <is>
          <t>1983</t>
        </is>
      </c>
      <c r="O587" t="inlineStr">
        <is>
          <t>eng</t>
        </is>
      </c>
      <c r="P587" t="inlineStr">
        <is>
          <t>enk</t>
        </is>
      </c>
      <c r="Q587" t="inlineStr">
        <is>
          <t>International library of psychology</t>
        </is>
      </c>
      <c r="R587" t="inlineStr">
        <is>
          <t xml:space="preserve">BF </t>
        </is>
      </c>
      <c r="S587" t="n">
        <v>3</v>
      </c>
      <c r="T587" t="n">
        <v>3</v>
      </c>
      <c r="U587" t="inlineStr">
        <is>
          <t>2003-09-30</t>
        </is>
      </c>
      <c r="V587" t="inlineStr">
        <is>
          <t>2003-09-30</t>
        </is>
      </c>
      <c r="W587" t="inlineStr">
        <is>
          <t>1993-03-29</t>
        </is>
      </c>
      <c r="X587" t="inlineStr">
        <is>
          <t>1993-03-29</t>
        </is>
      </c>
      <c r="Y587" t="n">
        <v>320</v>
      </c>
      <c r="Z587" t="n">
        <v>198</v>
      </c>
      <c r="AA587" t="n">
        <v>222</v>
      </c>
      <c r="AB587" t="n">
        <v>2</v>
      </c>
      <c r="AC587" t="n">
        <v>2</v>
      </c>
      <c r="AD587" t="n">
        <v>7</v>
      </c>
      <c r="AE587" t="n">
        <v>7</v>
      </c>
      <c r="AF587" t="n">
        <v>1</v>
      </c>
      <c r="AG587" t="n">
        <v>1</v>
      </c>
      <c r="AH587" t="n">
        <v>2</v>
      </c>
      <c r="AI587" t="n">
        <v>2</v>
      </c>
      <c r="AJ587" t="n">
        <v>6</v>
      </c>
      <c r="AK587" t="n">
        <v>6</v>
      </c>
      <c r="AL587" t="n">
        <v>1</v>
      </c>
      <c r="AM587" t="n">
        <v>1</v>
      </c>
      <c r="AN587" t="n">
        <v>0</v>
      </c>
      <c r="AO587" t="n">
        <v>0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HYPERLINK("https://creighton-primo.hosted.exlibrisgroup.com/primo-explore/search?tab=default_tab&amp;search_scope=EVERYTHING&amp;vid=01CRU&amp;lang=en_US&amp;offset=0&amp;query=any,contains,991000165209702656","Catalog Record")</f>
        <v/>
      </c>
      <c r="AT587">
        <f>HYPERLINK("http://www.worldcat.org/oclc/9282855","WorldCat Record")</f>
        <v/>
      </c>
      <c r="AU587" t="inlineStr">
        <is>
          <t>889768323:eng</t>
        </is>
      </c>
      <c r="AV587" t="inlineStr">
        <is>
          <t>9282855</t>
        </is>
      </c>
      <c r="AW587" t="inlineStr">
        <is>
          <t>991000165209702656</t>
        </is>
      </c>
      <c r="AX587" t="inlineStr">
        <is>
          <t>991000165209702656</t>
        </is>
      </c>
      <c r="AY587" t="inlineStr">
        <is>
          <t>2259923810002656</t>
        </is>
      </c>
      <c r="AZ587" t="inlineStr">
        <is>
          <t>BOOK</t>
        </is>
      </c>
      <c r="BB587" t="inlineStr">
        <is>
          <t>9780710094605</t>
        </is>
      </c>
      <c r="BC587" t="inlineStr">
        <is>
          <t>32285001592715</t>
        </is>
      </c>
      <c r="BD587" t="inlineStr">
        <is>
          <t>893502305</t>
        </is>
      </c>
    </row>
    <row r="588">
      <c r="A588" t="inlineStr">
        <is>
          <t>No</t>
        </is>
      </c>
      <c r="B588" t="inlineStr">
        <is>
          <t>BF455 .T535 1983</t>
        </is>
      </c>
      <c r="C588" t="inlineStr">
        <is>
          <t>0                      BF 0455000T  535         1983</t>
        </is>
      </c>
      <c r="D588" t="inlineStr">
        <is>
          <t>Thinking, the expanding frontier / edited by William Maxwell ; preface by Jerome Bruner 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Philadelphia, Pa. : Franklin Institute Press, c1983.</t>
        </is>
      </c>
      <c r="M588" t="inlineStr">
        <is>
          <t>1983</t>
        </is>
      </c>
      <c r="O588" t="inlineStr">
        <is>
          <t>eng</t>
        </is>
      </c>
      <c r="P588" t="inlineStr">
        <is>
          <t>pau</t>
        </is>
      </c>
      <c r="R588" t="inlineStr">
        <is>
          <t xml:space="preserve">BF </t>
        </is>
      </c>
      <c r="S588" t="n">
        <v>3</v>
      </c>
      <c r="T588" t="n">
        <v>3</v>
      </c>
      <c r="U588" t="inlineStr">
        <is>
          <t>1999-04-08</t>
        </is>
      </c>
      <c r="V588" t="inlineStr">
        <is>
          <t>1999-04-08</t>
        </is>
      </c>
      <c r="W588" t="inlineStr">
        <is>
          <t>1993-03-29</t>
        </is>
      </c>
      <c r="X588" t="inlineStr">
        <is>
          <t>1993-03-29</t>
        </is>
      </c>
      <c r="Y588" t="n">
        <v>369</v>
      </c>
      <c r="Z588" t="n">
        <v>322</v>
      </c>
      <c r="AA588" t="n">
        <v>323</v>
      </c>
      <c r="AB588" t="n">
        <v>5</v>
      </c>
      <c r="AC588" t="n">
        <v>5</v>
      </c>
      <c r="AD588" t="n">
        <v>18</v>
      </c>
      <c r="AE588" t="n">
        <v>18</v>
      </c>
      <c r="AF588" t="n">
        <v>4</v>
      </c>
      <c r="AG588" t="n">
        <v>4</v>
      </c>
      <c r="AH588" t="n">
        <v>3</v>
      </c>
      <c r="AI588" t="n">
        <v>3</v>
      </c>
      <c r="AJ588" t="n">
        <v>9</v>
      </c>
      <c r="AK588" t="n">
        <v>9</v>
      </c>
      <c r="AL588" t="n">
        <v>4</v>
      </c>
      <c r="AM588" t="n">
        <v>4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HYPERLINK("http://catalog.hathitrust.org/Record/007177773","HathiTrust Record")</f>
        <v/>
      </c>
      <c r="AS588">
        <f>HYPERLINK("https://creighton-primo.hosted.exlibrisgroup.com/primo-explore/search?tab=default_tab&amp;search_scope=EVERYTHING&amp;vid=01CRU&amp;lang=en_US&amp;offset=0&amp;query=any,contains,991000162669702656","Catalog Record")</f>
        <v/>
      </c>
      <c r="AT588">
        <f>HYPERLINK("http://www.worldcat.org/oclc/9280856","WorldCat Record")</f>
        <v/>
      </c>
      <c r="AU588" t="inlineStr">
        <is>
          <t>351005576:eng</t>
        </is>
      </c>
      <c r="AV588" t="inlineStr">
        <is>
          <t>9280856</t>
        </is>
      </c>
      <c r="AW588" t="inlineStr">
        <is>
          <t>991000162669702656</t>
        </is>
      </c>
      <c r="AX588" t="inlineStr">
        <is>
          <t>991000162669702656</t>
        </is>
      </c>
      <c r="AY588" t="inlineStr">
        <is>
          <t>2260683790002656</t>
        </is>
      </c>
      <c r="AZ588" t="inlineStr">
        <is>
          <t>BOOK</t>
        </is>
      </c>
      <c r="BB588" t="inlineStr">
        <is>
          <t>9780891680475</t>
        </is>
      </c>
      <c r="BC588" t="inlineStr">
        <is>
          <t>32285001592723</t>
        </is>
      </c>
      <c r="BD588" t="inlineStr">
        <is>
          <t>893224792</t>
        </is>
      </c>
    </row>
    <row r="589">
      <c r="A589" t="inlineStr">
        <is>
          <t>No</t>
        </is>
      </c>
      <c r="B589" t="inlineStr">
        <is>
          <t>BF455 .W67 1986</t>
        </is>
      </c>
      <c r="C589" t="inlineStr">
        <is>
          <t>0                      BF 0455000W  67          1986</t>
        </is>
      </c>
      <c r="D589" t="inlineStr">
        <is>
          <t>A model for teaching thinking skills : the inclusion process / by Antoinette M. Worsham and Anita J. Stockton.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Worsham, Antoinette Maria, 1943-</t>
        </is>
      </c>
      <c r="L589" t="inlineStr">
        <is>
          <t>Bloomington, Ind. : Phi Delta Kappa Educational Foundation, c1986.</t>
        </is>
      </c>
      <c r="M589" t="inlineStr">
        <is>
          <t>1986</t>
        </is>
      </c>
      <c r="O589" t="inlineStr">
        <is>
          <t>eng</t>
        </is>
      </c>
      <c r="P589" t="inlineStr">
        <is>
          <t>inu</t>
        </is>
      </c>
      <c r="Q589" t="inlineStr">
        <is>
          <t>Fastback ; 236</t>
        </is>
      </c>
      <c r="R589" t="inlineStr">
        <is>
          <t xml:space="preserve">BF </t>
        </is>
      </c>
      <c r="S589" t="n">
        <v>3</v>
      </c>
      <c r="T589" t="n">
        <v>3</v>
      </c>
      <c r="U589" t="inlineStr">
        <is>
          <t>1997-11-18</t>
        </is>
      </c>
      <c r="V589" t="inlineStr">
        <is>
          <t>1997-11-18</t>
        </is>
      </c>
      <c r="W589" t="inlineStr">
        <is>
          <t>1993-03-29</t>
        </is>
      </c>
      <c r="X589" t="inlineStr">
        <is>
          <t>1993-03-29</t>
        </is>
      </c>
      <c r="Y589" t="n">
        <v>245</v>
      </c>
      <c r="Z589" t="n">
        <v>227</v>
      </c>
      <c r="AA589" t="n">
        <v>235</v>
      </c>
      <c r="AB589" t="n">
        <v>4</v>
      </c>
      <c r="AC589" t="n">
        <v>4</v>
      </c>
      <c r="AD589" t="n">
        <v>8</v>
      </c>
      <c r="AE589" t="n">
        <v>8</v>
      </c>
      <c r="AF589" t="n">
        <v>2</v>
      </c>
      <c r="AG589" t="n">
        <v>2</v>
      </c>
      <c r="AH589" t="n">
        <v>2</v>
      </c>
      <c r="AI589" t="n">
        <v>2</v>
      </c>
      <c r="AJ589" t="n">
        <v>3</v>
      </c>
      <c r="AK589" t="n">
        <v>3</v>
      </c>
      <c r="AL589" t="n">
        <v>3</v>
      </c>
      <c r="AM589" t="n">
        <v>3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HYPERLINK("http://catalog.hathitrust.org/Record/009919155","HathiTrust Record")</f>
        <v/>
      </c>
      <c r="AS589">
        <f>HYPERLINK("https://creighton-primo.hosted.exlibrisgroup.com/primo-explore/search?tab=default_tab&amp;search_scope=EVERYTHING&amp;vid=01CRU&amp;lang=en_US&amp;offset=0&amp;query=any,contains,991000844289702656","Catalog Record")</f>
        <v/>
      </c>
      <c r="AT589">
        <f>HYPERLINK("http://www.worldcat.org/oclc/13556135","WorldCat Record")</f>
        <v/>
      </c>
      <c r="AU589" t="inlineStr">
        <is>
          <t>945126793:eng</t>
        </is>
      </c>
      <c r="AV589" t="inlineStr">
        <is>
          <t>13556135</t>
        </is>
      </c>
      <c r="AW589" t="inlineStr">
        <is>
          <t>991000844289702656</t>
        </is>
      </c>
      <c r="AX589" t="inlineStr">
        <is>
          <t>991000844289702656</t>
        </is>
      </c>
      <c r="AY589" t="inlineStr">
        <is>
          <t>2269837840002656</t>
        </is>
      </c>
      <c r="AZ589" t="inlineStr">
        <is>
          <t>BOOK</t>
        </is>
      </c>
      <c r="BB589" t="inlineStr">
        <is>
          <t>9780873672368</t>
        </is>
      </c>
      <c r="BC589" t="inlineStr">
        <is>
          <t>32285001592756</t>
        </is>
      </c>
      <c r="BD589" t="inlineStr">
        <is>
          <t>893778291</t>
        </is>
      </c>
    </row>
    <row r="590">
      <c r="A590" t="inlineStr">
        <is>
          <t>No</t>
        </is>
      </c>
      <c r="B590" t="inlineStr">
        <is>
          <t>BF456.D7 H27</t>
        </is>
      </c>
      <c r="C590" t="inlineStr">
        <is>
          <t>0                      BF 0456000D  7                  H  27</t>
        </is>
      </c>
      <c r="D590" t="inlineStr">
        <is>
          <t>Draw : A visual approach to thinking, learning, and communicating / Kurt Hanks and Larry Belliston.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Hanks, Kurt, 1947-</t>
        </is>
      </c>
      <c r="L590" t="inlineStr">
        <is>
          <t>Los Altos, Calif. : W. Kaufmann, 1977.</t>
        </is>
      </c>
      <c r="M590" t="inlineStr">
        <is>
          <t>1977</t>
        </is>
      </c>
      <c r="O590" t="inlineStr">
        <is>
          <t>eng</t>
        </is>
      </c>
      <c r="P590" t="inlineStr">
        <is>
          <t>cau</t>
        </is>
      </c>
      <c r="R590" t="inlineStr">
        <is>
          <t xml:space="preserve">BF </t>
        </is>
      </c>
      <c r="S590" t="n">
        <v>10</v>
      </c>
      <c r="T590" t="n">
        <v>10</v>
      </c>
      <c r="U590" t="inlineStr">
        <is>
          <t>2010-11-29</t>
        </is>
      </c>
      <c r="V590" t="inlineStr">
        <is>
          <t>2010-11-29</t>
        </is>
      </c>
      <c r="W590" t="inlineStr">
        <is>
          <t>1990-08-02</t>
        </is>
      </c>
      <c r="X590" t="inlineStr">
        <is>
          <t>1990-08-02</t>
        </is>
      </c>
      <c r="Y590" t="n">
        <v>671</v>
      </c>
      <c r="Z590" t="n">
        <v>582</v>
      </c>
      <c r="AA590" t="n">
        <v>625</v>
      </c>
      <c r="AB590" t="n">
        <v>6</v>
      </c>
      <c r="AC590" t="n">
        <v>6</v>
      </c>
      <c r="AD590" t="n">
        <v>18</v>
      </c>
      <c r="AE590" t="n">
        <v>18</v>
      </c>
      <c r="AF590" t="n">
        <v>9</v>
      </c>
      <c r="AG590" t="n">
        <v>9</v>
      </c>
      <c r="AH590" t="n">
        <v>2</v>
      </c>
      <c r="AI590" t="n">
        <v>2</v>
      </c>
      <c r="AJ590" t="n">
        <v>7</v>
      </c>
      <c r="AK590" t="n">
        <v>7</v>
      </c>
      <c r="AL590" t="n">
        <v>4</v>
      </c>
      <c r="AM590" t="n">
        <v>4</v>
      </c>
      <c r="AN590" t="n">
        <v>0</v>
      </c>
      <c r="AO590" t="n">
        <v>0</v>
      </c>
      <c r="AP590" t="inlineStr">
        <is>
          <t>No</t>
        </is>
      </c>
      <c r="AQ590" t="inlineStr">
        <is>
          <t>Yes</t>
        </is>
      </c>
      <c r="AR590">
        <f>HYPERLINK("http://catalog.hathitrust.org/Record/000739175","HathiTrust Record")</f>
        <v/>
      </c>
      <c r="AS590">
        <f>HYPERLINK("https://creighton-primo.hosted.exlibrisgroup.com/primo-explore/search?tab=default_tab&amp;search_scope=EVERYTHING&amp;vid=01CRU&amp;lang=en_US&amp;offset=0&amp;query=any,contains,991004281579702656","Catalog Record")</f>
        <v/>
      </c>
      <c r="AT590">
        <f>HYPERLINK("http://www.worldcat.org/oclc/2912069","WorldCat Record")</f>
        <v/>
      </c>
      <c r="AU590" t="inlineStr">
        <is>
          <t>1048496:eng</t>
        </is>
      </c>
      <c r="AV590" t="inlineStr">
        <is>
          <t>2912069</t>
        </is>
      </c>
      <c r="AW590" t="inlineStr">
        <is>
          <t>991004281579702656</t>
        </is>
      </c>
      <c r="AX590" t="inlineStr">
        <is>
          <t>991004281579702656</t>
        </is>
      </c>
      <c r="AY590" t="inlineStr">
        <is>
          <t>2267837280002656</t>
        </is>
      </c>
      <c r="AZ590" t="inlineStr">
        <is>
          <t>BOOK</t>
        </is>
      </c>
      <c r="BB590" t="inlineStr">
        <is>
          <t>9780913232453</t>
        </is>
      </c>
      <c r="BC590" t="inlineStr">
        <is>
          <t>32285000262880</t>
        </is>
      </c>
      <c r="BD590" t="inlineStr">
        <is>
          <t>893810454</t>
        </is>
      </c>
    </row>
    <row r="591">
      <c r="A591" t="inlineStr">
        <is>
          <t>No</t>
        </is>
      </c>
      <c r="B591" t="inlineStr">
        <is>
          <t>BF456.D7 H3</t>
        </is>
      </c>
      <c r="C591" t="inlineStr">
        <is>
          <t>0                      BF 0456000D  7                  H  3</t>
        </is>
      </c>
      <c r="D591" t="inlineStr">
        <is>
          <t>Children's drawings as measures of intellectual maturity; a revision and extension of the Goodenough Draw-a-Man test.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Harris, Dale B.</t>
        </is>
      </c>
      <c r="L591" t="inlineStr">
        <is>
          <t>New York, Harcourt, Brace &amp; World [c1963]</t>
        </is>
      </c>
      <c r="M591" t="inlineStr">
        <is>
          <t>1963</t>
        </is>
      </c>
      <c r="O591" t="inlineStr">
        <is>
          <t>eng</t>
        </is>
      </c>
      <c r="P591" t="inlineStr">
        <is>
          <t>nyu</t>
        </is>
      </c>
      <c r="R591" t="inlineStr">
        <is>
          <t xml:space="preserve">BF </t>
        </is>
      </c>
      <c r="S591" t="n">
        <v>6</v>
      </c>
      <c r="T591" t="n">
        <v>6</v>
      </c>
      <c r="U591" t="inlineStr">
        <is>
          <t>2007-04-19</t>
        </is>
      </c>
      <c r="V591" t="inlineStr">
        <is>
          <t>2007-04-19</t>
        </is>
      </c>
      <c r="W591" t="inlineStr">
        <is>
          <t>1992-10-27</t>
        </is>
      </c>
      <c r="X591" t="inlineStr">
        <is>
          <t>1992-10-27</t>
        </is>
      </c>
      <c r="Y591" t="n">
        <v>1038</v>
      </c>
      <c r="Z591" t="n">
        <v>832</v>
      </c>
      <c r="AA591" t="n">
        <v>838</v>
      </c>
      <c r="AB591" t="n">
        <v>7</v>
      </c>
      <c r="AC591" t="n">
        <v>7</v>
      </c>
      <c r="AD591" t="n">
        <v>32</v>
      </c>
      <c r="AE591" t="n">
        <v>32</v>
      </c>
      <c r="AF591" t="n">
        <v>15</v>
      </c>
      <c r="AG591" t="n">
        <v>15</v>
      </c>
      <c r="AH591" t="n">
        <v>5</v>
      </c>
      <c r="AI591" t="n">
        <v>5</v>
      </c>
      <c r="AJ591" t="n">
        <v>14</v>
      </c>
      <c r="AK591" t="n">
        <v>14</v>
      </c>
      <c r="AL591" t="n">
        <v>4</v>
      </c>
      <c r="AM591" t="n">
        <v>4</v>
      </c>
      <c r="AN591" t="n">
        <v>0</v>
      </c>
      <c r="AO591" t="n">
        <v>0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HYPERLINK("http://catalog.hathitrust.org/Record/000003295","HathiTrust Record")</f>
        <v/>
      </c>
      <c r="AS591">
        <f>HYPERLINK("https://creighton-primo.hosted.exlibrisgroup.com/primo-explore/search?tab=default_tab&amp;search_scope=EVERYTHING&amp;vid=01CRU&amp;lang=en_US&amp;offset=0&amp;query=any,contains,991001380139702656","Catalog Record")</f>
        <v/>
      </c>
      <c r="AT591">
        <f>HYPERLINK("http://www.worldcat.org/oclc/226026","WorldCat Record")</f>
        <v/>
      </c>
      <c r="AU591" t="inlineStr">
        <is>
          <t>413710:eng</t>
        </is>
      </c>
      <c r="AV591" t="inlineStr">
        <is>
          <t>226026</t>
        </is>
      </c>
      <c r="AW591" t="inlineStr">
        <is>
          <t>991001380139702656</t>
        </is>
      </c>
      <c r="AX591" t="inlineStr">
        <is>
          <t>991001380139702656</t>
        </is>
      </c>
      <c r="AY591" t="inlineStr">
        <is>
          <t>2263162460002656</t>
        </is>
      </c>
      <c r="AZ591" t="inlineStr">
        <is>
          <t>BOOK</t>
        </is>
      </c>
      <c r="BC591" t="inlineStr">
        <is>
          <t>32285001385318</t>
        </is>
      </c>
      <c r="BD591" t="inlineStr">
        <is>
          <t>893231953</t>
        </is>
      </c>
    </row>
    <row r="592">
      <c r="A592" t="inlineStr">
        <is>
          <t>No</t>
        </is>
      </c>
      <c r="B592" t="inlineStr">
        <is>
          <t>BF456.R2 E65 1969</t>
        </is>
      </c>
      <c r="C592" t="inlineStr">
        <is>
          <t>0                      BF 0456000R  2                  E  65          1969</t>
        </is>
      </c>
      <c r="D592" t="inlineStr">
        <is>
          <t>Emotional difficulties in reading; a psychological approach to study problems.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Ephron, Beulah Kanter.</t>
        </is>
      </c>
      <c r="L592" t="inlineStr">
        <is>
          <t>New York, Julian Press [1953]</t>
        </is>
      </c>
      <c r="M592" t="inlineStr">
        <is>
          <t>1953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BF </t>
        </is>
      </c>
      <c r="S592" t="n">
        <v>1</v>
      </c>
      <c r="T592" t="n">
        <v>1</v>
      </c>
      <c r="U592" t="inlineStr">
        <is>
          <t>2001-05-15</t>
        </is>
      </c>
      <c r="V592" t="inlineStr">
        <is>
          <t>2001-05-15</t>
        </is>
      </c>
      <c r="W592" t="inlineStr">
        <is>
          <t>1996-07-30</t>
        </is>
      </c>
      <c r="X592" t="inlineStr">
        <is>
          <t>1996-07-30</t>
        </is>
      </c>
      <c r="Y592" t="n">
        <v>299</v>
      </c>
      <c r="Z592" t="n">
        <v>273</v>
      </c>
      <c r="AA592" t="n">
        <v>349</v>
      </c>
      <c r="AB592" t="n">
        <v>3</v>
      </c>
      <c r="AC592" t="n">
        <v>3</v>
      </c>
      <c r="AD592" t="n">
        <v>10</v>
      </c>
      <c r="AE592" t="n">
        <v>14</v>
      </c>
      <c r="AF592" t="n">
        <v>2</v>
      </c>
      <c r="AG592" t="n">
        <v>5</v>
      </c>
      <c r="AH592" t="n">
        <v>3</v>
      </c>
      <c r="AI592" t="n">
        <v>4</v>
      </c>
      <c r="AJ592" t="n">
        <v>6</v>
      </c>
      <c r="AK592" t="n">
        <v>8</v>
      </c>
      <c r="AL592" t="n">
        <v>2</v>
      </c>
      <c r="AM592" t="n">
        <v>2</v>
      </c>
      <c r="AN592" t="n">
        <v>0</v>
      </c>
      <c r="AO592" t="n">
        <v>0</v>
      </c>
      <c r="AP592" t="inlineStr">
        <is>
          <t>No</t>
        </is>
      </c>
      <c r="AQ592" t="inlineStr">
        <is>
          <t>Yes</t>
        </is>
      </c>
      <c r="AR592">
        <f>HYPERLINK("http://catalog.hathitrust.org/Record/000387067","HathiTrust Record")</f>
        <v/>
      </c>
      <c r="AS592">
        <f>HYPERLINK("https://creighton-primo.hosted.exlibrisgroup.com/primo-explore/search?tab=default_tab&amp;search_scope=EVERYTHING&amp;vid=01CRU&amp;lang=en_US&amp;offset=0&amp;query=any,contains,991001378969702656","Catalog Record")</f>
        <v/>
      </c>
      <c r="AT592">
        <f>HYPERLINK("http://www.worldcat.org/oclc/225765","WorldCat Record")</f>
        <v/>
      </c>
      <c r="AU592" t="inlineStr">
        <is>
          <t>1337391:eng</t>
        </is>
      </c>
      <c r="AV592" t="inlineStr">
        <is>
          <t>225765</t>
        </is>
      </c>
      <c r="AW592" t="inlineStr">
        <is>
          <t>991001378969702656</t>
        </is>
      </c>
      <c r="AX592" t="inlineStr">
        <is>
          <t>991001378969702656</t>
        </is>
      </c>
      <c r="AY592" t="inlineStr">
        <is>
          <t>2263727030002656</t>
        </is>
      </c>
      <c r="AZ592" t="inlineStr">
        <is>
          <t>BOOK</t>
        </is>
      </c>
      <c r="BC592" t="inlineStr">
        <is>
          <t>32285002249570</t>
        </is>
      </c>
      <c r="BD592" t="inlineStr">
        <is>
          <t>893340387</t>
        </is>
      </c>
    </row>
    <row r="593">
      <c r="A593" t="inlineStr">
        <is>
          <t>No</t>
        </is>
      </c>
      <c r="B593" t="inlineStr">
        <is>
          <t>BF456.R2 T37 1983</t>
        </is>
      </c>
      <c r="C593" t="inlineStr">
        <is>
          <t>0                      BF 0456000R  2                  T  37          1983</t>
        </is>
      </c>
      <c r="D593" t="inlineStr">
        <is>
          <t>The psychology of reading / Insup Taylor, M. Martin Taylor.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Taylor, Insup.</t>
        </is>
      </c>
      <c r="L593" t="inlineStr">
        <is>
          <t>New York : Academic Press, 1983.</t>
        </is>
      </c>
      <c r="M593" t="inlineStr">
        <is>
          <t>1983</t>
        </is>
      </c>
      <c r="O593" t="inlineStr">
        <is>
          <t>eng</t>
        </is>
      </c>
      <c r="P593" t="inlineStr">
        <is>
          <t>nyu</t>
        </is>
      </c>
      <c r="R593" t="inlineStr">
        <is>
          <t xml:space="preserve">BF </t>
        </is>
      </c>
      <c r="S593" t="n">
        <v>4</v>
      </c>
      <c r="T593" t="n">
        <v>4</v>
      </c>
      <c r="U593" t="inlineStr">
        <is>
          <t>2006-07-27</t>
        </is>
      </c>
      <c r="V593" t="inlineStr">
        <is>
          <t>2006-07-27</t>
        </is>
      </c>
      <c r="W593" t="inlineStr">
        <is>
          <t>1993-03-29</t>
        </is>
      </c>
      <c r="X593" t="inlineStr">
        <is>
          <t>1993-03-29</t>
        </is>
      </c>
      <c r="Y593" t="n">
        <v>431</v>
      </c>
      <c r="Z593" t="n">
        <v>302</v>
      </c>
      <c r="AA593" t="n">
        <v>339</v>
      </c>
      <c r="AB593" t="n">
        <v>4</v>
      </c>
      <c r="AC593" t="n">
        <v>4</v>
      </c>
      <c r="AD593" t="n">
        <v>14</v>
      </c>
      <c r="AE593" t="n">
        <v>16</v>
      </c>
      <c r="AF593" t="n">
        <v>5</v>
      </c>
      <c r="AG593" t="n">
        <v>6</v>
      </c>
      <c r="AH593" t="n">
        <v>2</v>
      </c>
      <c r="AI593" t="n">
        <v>3</v>
      </c>
      <c r="AJ593" t="n">
        <v>7</v>
      </c>
      <c r="AK593" t="n">
        <v>7</v>
      </c>
      <c r="AL593" t="n">
        <v>3</v>
      </c>
      <c r="AM593" t="n">
        <v>3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HYPERLINK("http://catalog.hathitrust.org/Record/000201789","HathiTrust Record")</f>
        <v/>
      </c>
      <c r="AS593">
        <f>HYPERLINK("https://creighton-primo.hosted.exlibrisgroup.com/primo-explore/search?tab=default_tab&amp;search_scope=EVERYTHING&amp;vid=01CRU&amp;lang=en_US&amp;offset=0&amp;query=any,contains,991000221619702656","Catalog Record")</f>
        <v/>
      </c>
      <c r="AT593">
        <f>HYPERLINK("http://www.worldcat.org/oclc/9576583","WorldCat Record")</f>
        <v/>
      </c>
      <c r="AU593" t="inlineStr">
        <is>
          <t>19821193:eng</t>
        </is>
      </c>
      <c r="AV593" t="inlineStr">
        <is>
          <t>9576583</t>
        </is>
      </c>
      <c r="AW593" t="inlineStr">
        <is>
          <t>991000221619702656</t>
        </is>
      </c>
      <c r="AX593" t="inlineStr">
        <is>
          <t>991000221619702656</t>
        </is>
      </c>
      <c r="AY593" t="inlineStr">
        <is>
          <t>2267584000002656</t>
        </is>
      </c>
      <c r="AZ593" t="inlineStr">
        <is>
          <t>BOOK</t>
        </is>
      </c>
      <c r="BB593" t="inlineStr">
        <is>
          <t>9780126840803</t>
        </is>
      </c>
      <c r="BC593" t="inlineStr">
        <is>
          <t>32285001592863</t>
        </is>
      </c>
      <c r="BD593" t="inlineStr">
        <is>
          <t>893407032</t>
        </is>
      </c>
    </row>
    <row r="594">
      <c r="A594" t="inlineStr">
        <is>
          <t>No</t>
        </is>
      </c>
      <c r="B594" t="inlineStr">
        <is>
          <t>BF456.S8 C63 1980</t>
        </is>
      </c>
      <c r="C594" t="inlineStr">
        <is>
          <t>0                      BF 0456000S  8                  C  63          1980</t>
        </is>
      </c>
      <c r="D594" t="inlineStr">
        <is>
          <t>Cognitive processes in spelling / edited by Uta Frith.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L594" t="inlineStr">
        <is>
          <t>London ; New York : Academic Press, 1980.</t>
        </is>
      </c>
      <c r="M594" t="inlineStr">
        <is>
          <t>1980</t>
        </is>
      </c>
      <c r="O594" t="inlineStr">
        <is>
          <t>eng</t>
        </is>
      </c>
      <c r="P594" t="inlineStr">
        <is>
          <t>enk</t>
        </is>
      </c>
      <c r="R594" t="inlineStr">
        <is>
          <t xml:space="preserve">BF </t>
        </is>
      </c>
      <c r="S594" t="n">
        <v>6</v>
      </c>
      <c r="T594" t="n">
        <v>6</v>
      </c>
      <c r="U594" t="inlineStr">
        <is>
          <t>2001-02-04</t>
        </is>
      </c>
      <c r="V594" t="inlineStr">
        <is>
          <t>2001-02-04</t>
        </is>
      </c>
      <c r="W594" t="inlineStr">
        <is>
          <t>1993-03-29</t>
        </is>
      </c>
      <c r="X594" t="inlineStr">
        <is>
          <t>1993-03-29</t>
        </is>
      </c>
      <c r="Y594" t="n">
        <v>586</v>
      </c>
      <c r="Z594" t="n">
        <v>370</v>
      </c>
      <c r="AA594" t="n">
        <v>373</v>
      </c>
      <c r="AB594" t="n">
        <v>2</v>
      </c>
      <c r="AC594" t="n">
        <v>2</v>
      </c>
      <c r="AD594" t="n">
        <v>10</v>
      </c>
      <c r="AE594" t="n">
        <v>10</v>
      </c>
      <c r="AF594" t="n">
        <v>2</v>
      </c>
      <c r="AG594" t="n">
        <v>2</v>
      </c>
      <c r="AH594" t="n">
        <v>3</v>
      </c>
      <c r="AI594" t="n">
        <v>3</v>
      </c>
      <c r="AJ594" t="n">
        <v>6</v>
      </c>
      <c r="AK594" t="n">
        <v>6</v>
      </c>
      <c r="AL594" t="n">
        <v>1</v>
      </c>
      <c r="AM594" t="n">
        <v>1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HYPERLINK("http://catalog.hathitrust.org/Record/000040037","HathiTrust Record")</f>
        <v/>
      </c>
      <c r="AS594">
        <f>HYPERLINK("https://creighton-primo.hosted.exlibrisgroup.com/primo-explore/search?tab=default_tab&amp;search_scope=EVERYTHING&amp;vid=01CRU&amp;lang=en_US&amp;offset=0&amp;query=any,contains,991004830829702656","Catalog Record")</f>
        <v/>
      </c>
      <c r="AT594">
        <f>HYPERLINK("http://www.worldcat.org/oclc/5410493","WorldCat Record")</f>
        <v/>
      </c>
      <c r="AU594" t="inlineStr">
        <is>
          <t>408994:eng</t>
        </is>
      </c>
      <c r="AV594" t="inlineStr">
        <is>
          <t>5410493</t>
        </is>
      </c>
      <c r="AW594" t="inlineStr">
        <is>
          <t>991004830829702656</t>
        </is>
      </c>
      <c r="AX594" t="inlineStr">
        <is>
          <t>991004830829702656</t>
        </is>
      </c>
      <c r="AY594" t="inlineStr">
        <is>
          <t>2260524500002656</t>
        </is>
      </c>
      <c r="AZ594" t="inlineStr">
        <is>
          <t>BOOK</t>
        </is>
      </c>
      <c r="BB594" t="inlineStr">
        <is>
          <t>9780122686603</t>
        </is>
      </c>
      <c r="BC594" t="inlineStr">
        <is>
          <t>32285001592871</t>
        </is>
      </c>
      <c r="BD594" t="inlineStr">
        <is>
          <t>893338179</t>
        </is>
      </c>
    </row>
    <row r="595">
      <c r="A595" t="inlineStr">
        <is>
          <t>No</t>
        </is>
      </c>
      <c r="B595" t="inlineStr">
        <is>
          <t>BF458 .F6 1949</t>
        </is>
      </c>
      <c r="C595" t="inlineStr">
        <is>
          <t>0                      BF 0458000F  6           1949</t>
        </is>
      </c>
      <c r="D595" t="inlineStr">
        <is>
          <t>Symbol and metaphor in human experience.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Foss, Martin, 1889-</t>
        </is>
      </c>
      <c r="L595" t="inlineStr">
        <is>
          <t>Princeton, Princeton University Press, 1949.</t>
        </is>
      </c>
      <c r="M595" t="inlineStr">
        <is>
          <t>1949</t>
        </is>
      </c>
      <c r="O595" t="inlineStr">
        <is>
          <t>eng</t>
        </is>
      </c>
      <c r="P595" t="inlineStr">
        <is>
          <t>nju</t>
        </is>
      </c>
      <c r="R595" t="inlineStr">
        <is>
          <t xml:space="preserve">BF </t>
        </is>
      </c>
      <c r="S595" t="n">
        <v>4</v>
      </c>
      <c r="T595" t="n">
        <v>4</v>
      </c>
      <c r="U595" t="inlineStr">
        <is>
          <t>1999-09-29</t>
        </is>
      </c>
      <c r="V595" t="inlineStr">
        <is>
          <t>1999-09-29</t>
        </is>
      </c>
      <c r="W595" t="inlineStr">
        <is>
          <t>1996-07-30</t>
        </is>
      </c>
      <c r="X595" t="inlineStr">
        <is>
          <t>1996-07-30</t>
        </is>
      </c>
      <c r="Y595" t="n">
        <v>385</v>
      </c>
      <c r="Z595" t="n">
        <v>349</v>
      </c>
      <c r="AA595" t="n">
        <v>454</v>
      </c>
      <c r="AB595" t="n">
        <v>3</v>
      </c>
      <c r="AC595" t="n">
        <v>3</v>
      </c>
      <c r="AD595" t="n">
        <v>20</v>
      </c>
      <c r="AE595" t="n">
        <v>22</v>
      </c>
      <c r="AF595" t="n">
        <v>6</v>
      </c>
      <c r="AG595" t="n">
        <v>8</v>
      </c>
      <c r="AH595" t="n">
        <v>6</v>
      </c>
      <c r="AI595" t="n">
        <v>6</v>
      </c>
      <c r="AJ595" t="n">
        <v>13</v>
      </c>
      <c r="AK595" t="n">
        <v>14</v>
      </c>
      <c r="AL595" t="n">
        <v>2</v>
      </c>
      <c r="AM595" t="n">
        <v>2</v>
      </c>
      <c r="AN595" t="n">
        <v>0</v>
      </c>
      <c r="AO595" t="n">
        <v>0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HYPERLINK("http://catalog.hathitrust.org/Record/000360230","HathiTrust Record")</f>
        <v/>
      </c>
      <c r="AS595">
        <f>HYPERLINK("https://creighton-primo.hosted.exlibrisgroup.com/primo-explore/search?tab=default_tab&amp;search_scope=EVERYTHING&amp;vid=01CRU&amp;lang=en_US&amp;offset=0&amp;query=any,contains,991001935589702656","Catalog Record")</f>
        <v/>
      </c>
      <c r="AT595">
        <f>HYPERLINK("http://www.worldcat.org/oclc/250449","WorldCat Record")</f>
        <v/>
      </c>
      <c r="AU595" t="inlineStr">
        <is>
          <t>1336823:eng</t>
        </is>
      </c>
      <c r="AV595" t="inlineStr">
        <is>
          <t>250449</t>
        </is>
      </c>
      <c r="AW595" t="inlineStr">
        <is>
          <t>991001935589702656</t>
        </is>
      </c>
      <c r="AX595" t="inlineStr">
        <is>
          <t>991001935589702656</t>
        </is>
      </c>
      <c r="AY595" t="inlineStr">
        <is>
          <t>2266844870002656</t>
        </is>
      </c>
      <c r="AZ595" t="inlineStr">
        <is>
          <t>BOOK</t>
        </is>
      </c>
      <c r="BC595" t="inlineStr">
        <is>
          <t>32285002249695</t>
        </is>
      </c>
      <c r="BD595" t="inlineStr">
        <is>
          <t>893885656</t>
        </is>
      </c>
    </row>
    <row r="596">
      <c r="A596" t="inlineStr">
        <is>
          <t>No</t>
        </is>
      </c>
      <c r="B596" t="inlineStr">
        <is>
          <t>BF458 .L29</t>
        </is>
      </c>
      <c r="C596" t="inlineStr">
        <is>
          <t>0                      BF 0458000L  29</t>
        </is>
      </c>
      <c r="D596" t="inlineStr">
        <is>
          <t>Feeling and form; a theory of art ....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Langer, Susanne K. (Susanne Katherina Knauth), 1895-1985.</t>
        </is>
      </c>
      <c r="L596" t="inlineStr">
        <is>
          <t>New York, Scribner, 1953.</t>
        </is>
      </c>
      <c r="M596" t="inlineStr">
        <is>
          <t>1953</t>
        </is>
      </c>
      <c r="O596" t="inlineStr">
        <is>
          <t>eng</t>
        </is>
      </c>
      <c r="P596" t="inlineStr">
        <is>
          <t>nyu</t>
        </is>
      </c>
      <c r="R596" t="inlineStr">
        <is>
          <t xml:space="preserve">BF </t>
        </is>
      </c>
      <c r="S596" t="n">
        <v>4</v>
      </c>
      <c r="T596" t="n">
        <v>4</v>
      </c>
      <c r="U596" t="inlineStr">
        <is>
          <t>1999-10-25</t>
        </is>
      </c>
      <c r="V596" t="inlineStr">
        <is>
          <t>1999-10-25</t>
        </is>
      </c>
      <c r="W596" t="inlineStr">
        <is>
          <t>1997-11-03</t>
        </is>
      </c>
      <c r="X596" t="inlineStr">
        <is>
          <t>1997-11-03</t>
        </is>
      </c>
      <c r="Y596" t="n">
        <v>1287</v>
      </c>
      <c r="Z596" t="n">
        <v>1167</v>
      </c>
      <c r="AA596" t="n">
        <v>1184</v>
      </c>
      <c r="AB596" t="n">
        <v>7</v>
      </c>
      <c r="AC596" t="n">
        <v>7</v>
      </c>
      <c r="AD596" t="n">
        <v>50</v>
      </c>
      <c r="AE596" t="n">
        <v>50</v>
      </c>
      <c r="AF596" t="n">
        <v>25</v>
      </c>
      <c r="AG596" t="n">
        <v>25</v>
      </c>
      <c r="AH596" t="n">
        <v>9</v>
      </c>
      <c r="AI596" t="n">
        <v>9</v>
      </c>
      <c r="AJ596" t="n">
        <v>23</v>
      </c>
      <c r="AK596" t="n">
        <v>23</v>
      </c>
      <c r="AL596" t="n">
        <v>6</v>
      </c>
      <c r="AM596" t="n">
        <v>6</v>
      </c>
      <c r="AN596" t="n">
        <v>0</v>
      </c>
      <c r="AO596" t="n">
        <v>0</v>
      </c>
      <c r="AP596" t="inlineStr">
        <is>
          <t>No</t>
        </is>
      </c>
      <c r="AQ596" t="inlineStr">
        <is>
          <t>No</t>
        </is>
      </c>
      <c r="AR596">
        <f>HYPERLINK("http://catalog.hathitrust.org/Record/000450632","HathiTrust Record")</f>
        <v/>
      </c>
      <c r="AS596">
        <f>HYPERLINK("https://creighton-primo.hosted.exlibrisgroup.com/primo-explore/search?tab=default_tab&amp;search_scope=EVERYTHING&amp;vid=01CRU&amp;lang=en_US&amp;offset=0&amp;query=any,contains,991004383629702656","Catalog Record")</f>
        <v/>
      </c>
      <c r="AT596">
        <f>HYPERLINK("http://www.worldcat.org/oclc/3234538","WorldCat Record")</f>
        <v/>
      </c>
      <c r="AU596" t="inlineStr">
        <is>
          <t>4417317079:eng</t>
        </is>
      </c>
      <c r="AV596" t="inlineStr">
        <is>
          <t>3234538</t>
        </is>
      </c>
      <c r="AW596" t="inlineStr">
        <is>
          <t>991004383629702656</t>
        </is>
      </c>
      <c r="AX596" t="inlineStr">
        <is>
          <t>991004383629702656</t>
        </is>
      </c>
      <c r="AY596" t="inlineStr">
        <is>
          <t>2260021370002656</t>
        </is>
      </c>
      <c r="AZ596" t="inlineStr">
        <is>
          <t>BOOK</t>
        </is>
      </c>
      <c r="BC596" t="inlineStr">
        <is>
          <t>32285003259818</t>
        </is>
      </c>
      <c r="BD596" t="inlineStr">
        <is>
          <t>893775956</t>
        </is>
      </c>
    </row>
    <row r="597">
      <c r="A597" t="inlineStr">
        <is>
          <t>No</t>
        </is>
      </c>
      <c r="B597" t="inlineStr">
        <is>
          <t>BF458 .L3 1957</t>
        </is>
      </c>
      <c r="C597" t="inlineStr">
        <is>
          <t>0                      BF 0458000L  3           1957</t>
        </is>
      </c>
      <c r="D597" t="inlineStr">
        <is>
          <t>Philosophy in a new key; a study in the symbolism of reason, rite, and art.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Langer, Susanne K. (Susanne Katherina Knauth), 1895-1985.</t>
        </is>
      </c>
      <c r="L597" t="inlineStr">
        <is>
          <t>Cambridge, Harvard University Press, 1967 [c1957]</t>
        </is>
      </c>
      <c r="M597" t="inlineStr">
        <is>
          <t>1967</t>
        </is>
      </c>
      <c r="N597" t="inlineStr">
        <is>
          <t>[3d ed.]</t>
        </is>
      </c>
      <c r="O597" t="inlineStr">
        <is>
          <t>eng</t>
        </is>
      </c>
      <c r="P597" t="inlineStr">
        <is>
          <t>mau</t>
        </is>
      </c>
      <c r="R597" t="inlineStr">
        <is>
          <t xml:space="preserve">BF </t>
        </is>
      </c>
      <c r="S597" t="n">
        <v>1</v>
      </c>
      <c r="T597" t="n">
        <v>1</v>
      </c>
      <c r="U597" t="inlineStr">
        <is>
          <t>1997-10-31</t>
        </is>
      </c>
      <c r="V597" t="inlineStr">
        <is>
          <t>1997-10-31</t>
        </is>
      </c>
      <c r="W597" t="inlineStr">
        <is>
          <t>1996-07-30</t>
        </is>
      </c>
      <c r="X597" t="inlineStr">
        <is>
          <t>1996-07-30</t>
        </is>
      </c>
      <c r="Y597" t="n">
        <v>84</v>
      </c>
      <c r="Z597" t="n">
        <v>73</v>
      </c>
      <c r="AA597" t="n">
        <v>1516</v>
      </c>
      <c r="AB597" t="n">
        <v>1</v>
      </c>
      <c r="AC597" t="n">
        <v>7</v>
      </c>
      <c r="AD597" t="n">
        <v>8</v>
      </c>
      <c r="AE597" t="n">
        <v>53</v>
      </c>
      <c r="AF597" t="n">
        <v>3</v>
      </c>
      <c r="AG597" t="n">
        <v>25</v>
      </c>
      <c r="AH597" t="n">
        <v>2</v>
      </c>
      <c r="AI597" t="n">
        <v>11</v>
      </c>
      <c r="AJ597" t="n">
        <v>5</v>
      </c>
      <c r="AK597" t="n">
        <v>25</v>
      </c>
      <c r="AL597" t="n">
        <v>0</v>
      </c>
      <c r="AM597" t="n">
        <v>5</v>
      </c>
      <c r="AN597" t="n">
        <v>0</v>
      </c>
      <c r="AO597" t="n">
        <v>0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HYPERLINK("https://creighton-primo.hosted.exlibrisgroup.com/primo-explore/search?tab=default_tab&amp;search_scope=EVERYTHING&amp;vid=01CRU&amp;lang=en_US&amp;offset=0&amp;query=any,contains,991004221549702656","Catalog Record")</f>
        <v/>
      </c>
      <c r="AT597">
        <f>HYPERLINK("http://www.worldcat.org/oclc/2714142","WorldCat Record")</f>
        <v/>
      </c>
      <c r="AU597" t="inlineStr">
        <is>
          <t>196209750:eng</t>
        </is>
      </c>
      <c r="AV597" t="inlineStr">
        <is>
          <t>2714142</t>
        </is>
      </c>
      <c r="AW597" t="inlineStr">
        <is>
          <t>991004221549702656</t>
        </is>
      </c>
      <c r="AX597" t="inlineStr">
        <is>
          <t>991004221549702656</t>
        </is>
      </c>
      <c r="AY597" t="inlineStr">
        <is>
          <t>2269097940002656</t>
        </is>
      </c>
      <c r="AZ597" t="inlineStr">
        <is>
          <t>BOOK</t>
        </is>
      </c>
      <c r="BC597" t="inlineStr">
        <is>
          <t>32285002249703</t>
        </is>
      </c>
      <c r="BD597" t="inlineStr">
        <is>
          <t>893612090</t>
        </is>
      </c>
    </row>
    <row r="598">
      <c r="A598" t="inlineStr">
        <is>
          <t>No</t>
        </is>
      </c>
      <c r="B598" t="inlineStr">
        <is>
          <t>BF458 .S7213</t>
        </is>
      </c>
      <c r="C598" t="inlineStr">
        <is>
          <t>0                      BF 0458000S  7213</t>
        </is>
      </c>
      <c r="D598" t="inlineStr">
        <is>
          <t>Rethinking symbolism / Dan Sperber ; translated [from the French] by Alice L. Morton.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Sperber, Dan.</t>
        </is>
      </c>
      <c r="L598" t="inlineStr">
        <is>
          <t>Cambridge ; New York : Cambridge University Press, 1975.</t>
        </is>
      </c>
      <c r="M598" t="inlineStr">
        <is>
          <t>1975</t>
        </is>
      </c>
      <c r="O598" t="inlineStr">
        <is>
          <t>eng</t>
        </is>
      </c>
      <c r="P598" t="inlineStr">
        <is>
          <t>enk</t>
        </is>
      </c>
      <c r="Q598" t="inlineStr">
        <is>
          <t>Cambridge studies in social anthropology, 0068-6794</t>
        </is>
      </c>
      <c r="R598" t="inlineStr">
        <is>
          <t xml:space="preserve">BF </t>
        </is>
      </c>
      <c r="S598" t="n">
        <v>2</v>
      </c>
      <c r="T598" t="n">
        <v>2</v>
      </c>
      <c r="U598" t="inlineStr">
        <is>
          <t>2004-12-01</t>
        </is>
      </c>
      <c r="V598" t="inlineStr">
        <is>
          <t>2004-12-01</t>
        </is>
      </c>
      <c r="W598" t="inlineStr">
        <is>
          <t>1996-07-30</t>
        </is>
      </c>
      <c r="X598" t="inlineStr">
        <is>
          <t>1996-07-30</t>
        </is>
      </c>
      <c r="Y598" t="n">
        <v>812</v>
      </c>
      <c r="Z598" t="n">
        <v>608</v>
      </c>
      <c r="AA598" t="n">
        <v>629</v>
      </c>
      <c r="AB598" t="n">
        <v>4</v>
      </c>
      <c r="AC598" t="n">
        <v>5</v>
      </c>
      <c r="AD598" t="n">
        <v>25</v>
      </c>
      <c r="AE598" t="n">
        <v>26</v>
      </c>
      <c r="AF598" t="n">
        <v>7</v>
      </c>
      <c r="AG598" t="n">
        <v>7</v>
      </c>
      <c r="AH598" t="n">
        <v>7</v>
      </c>
      <c r="AI598" t="n">
        <v>7</v>
      </c>
      <c r="AJ598" t="n">
        <v>15</v>
      </c>
      <c r="AK598" t="n">
        <v>15</v>
      </c>
      <c r="AL598" t="n">
        <v>3</v>
      </c>
      <c r="AM598" t="n">
        <v>4</v>
      </c>
      <c r="AN598" t="n">
        <v>0</v>
      </c>
      <c r="AO598" t="n">
        <v>0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HYPERLINK("http://catalog.hathitrust.org/Record/000690480","HathiTrust Record")</f>
        <v/>
      </c>
      <c r="AS598">
        <f>HYPERLINK("https://creighton-primo.hosted.exlibrisgroup.com/primo-explore/search?tab=default_tab&amp;search_scope=EVERYTHING&amp;vid=01CRU&amp;lang=en_US&amp;offset=0&amp;query=any,contains,991003911639702656","Catalog Record")</f>
        <v/>
      </c>
      <c r="AT598">
        <f>HYPERLINK("http://www.worldcat.org/oclc/1853071","WorldCat Record")</f>
        <v/>
      </c>
      <c r="AU598" t="inlineStr">
        <is>
          <t>4095861830:eng</t>
        </is>
      </c>
      <c r="AV598" t="inlineStr">
        <is>
          <t>1853071</t>
        </is>
      </c>
      <c r="AW598" t="inlineStr">
        <is>
          <t>991003911639702656</t>
        </is>
      </c>
      <c r="AX598" t="inlineStr">
        <is>
          <t>991003911639702656</t>
        </is>
      </c>
      <c r="AY598" t="inlineStr">
        <is>
          <t>2264834570002656</t>
        </is>
      </c>
      <c r="AZ598" t="inlineStr">
        <is>
          <t>BOOK</t>
        </is>
      </c>
      <c r="BB598" t="inlineStr">
        <is>
          <t>9780521208345</t>
        </is>
      </c>
      <c r="BC598" t="inlineStr">
        <is>
          <t>32285002249737</t>
        </is>
      </c>
      <c r="BD598" t="inlineStr">
        <is>
          <t>893711937</t>
        </is>
      </c>
    </row>
    <row r="599">
      <c r="A599" t="inlineStr">
        <is>
          <t>No</t>
        </is>
      </c>
      <c r="B599" t="inlineStr">
        <is>
          <t>BF458 .W5 1959</t>
        </is>
      </c>
      <c r="C599" t="inlineStr">
        <is>
          <t>0                      BF 0458000W  5           1959</t>
        </is>
      </c>
      <c r="D599" t="inlineStr">
        <is>
          <t>Symbolism, its meaning and effect.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Whitehead, Alfred North, 1861-1947.</t>
        </is>
      </c>
      <c r="L599" t="inlineStr">
        <is>
          <t>New York : Capricorn Books, [1959]</t>
        </is>
      </c>
      <c r="M599" t="inlineStr">
        <is>
          <t>1959</t>
        </is>
      </c>
      <c r="O599" t="inlineStr">
        <is>
          <t>eng</t>
        </is>
      </c>
      <c r="P599" t="inlineStr">
        <is>
          <t>nyu</t>
        </is>
      </c>
      <c r="Q599" t="inlineStr">
        <is>
          <t>A Putnam Capricorn book, Cap 13.</t>
        </is>
      </c>
      <c r="R599" t="inlineStr">
        <is>
          <t xml:space="preserve">BF </t>
        </is>
      </c>
      <c r="S599" t="n">
        <v>8</v>
      </c>
      <c r="T599" t="n">
        <v>8</v>
      </c>
      <c r="U599" t="inlineStr">
        <is>
          <t>2010-01-18</t>
        </is>
      </c>
      <c r="V599" t="inlineStr">
        <is>
          <t>2010-01-18</t>
        </is>
      </c>
      <c r="W599" t="inlineStr">
        <is>
          <t>1992-06-05</t>
        </is>
      </c>
      <c r="X599" t="inlineStr">
        <is>
          <t>1992-06-05</t>
        </is>
      </c>
      <c r="Y599" t="n">
        <v>563</v>
      </c>
      <c r="Z599" t="n">
        <v>508</v>
      </c>
      <c r="AA599" t="n">
        <v>945</v>
      </c>
      <c r="AB599" t="n">
        <v>4</v>
      </c>
      <c r="AC599" t="n">
        <v>5</v>
      </c>
      <c r="AD599" t="n">
        <v>28</v>
      </c>
      <c r="AE599" t="n">
        <v>43</v>
      </c>
      <c r="AF599" t="n">
        <v>13</v>
      </c>
      <c r="AG599" t="n">
        <v>21</v>
      </c>
      <c r="AH599" t="n">
        <v>4</v>
      </c>
      <c r="AI599" t="n">
        <v>7</v>
      </c>
      <c r="AJ599" t="n">
        <v>15</v>
      </c>
      <c r="AK599" t="n">
        <v>22</v>
      </c>
      <c r="AL599" t="n">
        <v>3</v>
      </c>
      <c r="AM599" t="n">
        <v>4</v>
      </c>
      <c r="AN599" t="n">
        <v>0</v>
      </c>
      <c r="AO599" t="n">
        <v>0</v>
      </c>
      <c r="AP599" t="inlineStr">
        <is>
          <t>No</t>
        </is>
      </c>
      <c r="AQ599" t="inlineStr">
        <is>
          <t>Yes</t>
        </is>
      </c>
      <c r="AR599">
        <f>HYPERLINK("http://catalog.hathitrust.org/Record/000386746","HathiTrust Record")</f>
        <v/>
      </c>
      <c r="AS599">
        <f>HYPERLINK("https://creighton-primo.hosted.exlibrisgroup.com/primo-explore/search?tab=default_tab&amp;search_scope=EVERYTHING&amp;vid=01CRU&amp;lang=en_US&amp;offset=0&amp;query=any,contains,991001372669702656","Catalog Record")</f>
        <v/>
      </c>
      <c r="AT599">
        <f>HYPERLINK("http://www.worldcat.org/oclc/224098","WorldCat Record")</f>
        <v/>
      </c>
      <c r="AU599" t="inlineStr">
        <is>
          <t>1332621:eng</t>
        </is>
      </c>
      <c r="AV599" t="inlineStr">
        <is>
          <t>224098</t>
        </is>
      </c>
      <c r="AW599" t="inlineStr">
        <is>
          <t>991001372669702656</t>
        </is>
      </c>
      <c r="AX599" t="inlineStr">
        <is>
          <t>991001372669702656</t>
        </is>
      </c>
      <c r="AY599" t="inlineStr">
        <is>
          <t>2264108100002656</t>
        </is>
      </c>
      <c r="AZ599" t="inlineStr">
        <is>
          <t>BOOK</t>
        </is>
      </c>
      <c r="BC599" t="inlineStr">
        <is>
          <t>32285001130714</t>
        </is>
      </c>
      <c r="BD599" t="inlineStr">
        <is>
          <t>893590234</t>
        </is>
      </c>
    </row>
    <row r="600">
      <c r="A600" t="inlineStr">
        <is>
          <t>No</t>
        </is>
      </c>
      <c r="B600" t="inlineStr">
        <is>
          <t>BF463.M4 S55</t>
        </is>
      </c>
      <c r="C600" t="inlineStr">
        <is>
          <t>0                      BF 0463000M  4                  S  55</t>
        </is>
      </c>
      <c r="D600" t="inlineStr">
        <is>
          <t>Semantic differential technique; a sourcebook. Edited by James G. Snider and Charles E. Osgood.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Snider, James G., 1928-, compiler.</t>
        </is>
      </c>
      <c r="L600" t="inlineStr">
        <is>
          <t>Chicago, Aldine Pub. Co. [1969]</t>
        </is>
      </c>
      <c r="M600" t="inlineStr">
        <is>
          <t>1969</t>
        </is>
      </c>
      <c r="O600" t="inlineStr">
        <is>
          <t>eng</t>
        </is>
      </c>
      <c r="P600" t="inlineStr">
        <is>
          <t>ilu</t>
        </is>
      </c>
      <c r="R600" t="inlineStr">
        <is>
          <t xml:space="preserve">BF </t>
        </is>
      </c>
      <c r="S600" t="n">
        <v>1</v>
      </c>
      <c r="T600" t="n">
        <v>1</v>
      </c>
      <c r="U600" t="inlineStr">
        <is>
          <t>2004-10-28</t>
        </is>
      </c>
      <c r="V600" t="inlineStr">
        <is>
          <t>2004-10-28</t>
        </is>
      </c>
      <c r="W600" t="inlineStr">
        <is>
          <t>1996-07-30</t>
        </is>
      </c>
      <c r="X600" t="inlineStr">
        <is>
          <t>1996-07-30</t>
        </is>
      </c>
      <c r="Y600" t="n">
        <v>665</v>
      </c>
      <c r="Z600" t="n">
        <v>525</v>
      </c>
      <c r="AA600" t="n">
        <v>533</v>
      </c>
      <c r="AB600" t="n">
        <v>3</v>
      </c>
      <c r="AC600" t="n">
        <v>3</v>
      </c>
      <c r="AD600" t="n">
        <v>28</v>
      </c>
      <c r="AE600" t="n">
        <v>28</v>
      </c>
      <c r="AF600" t="n">
        <v>11</v>
      </c>
      <c r="AG600" t="n">
        <v>11</v>
      </c>
      <c r="AH600" t="n">
        <v>7</v>
      </c>
      <c r="AI600" t="n">
        <v>7</v>
      </c>
      <c r="AJ600" t="n">
        <v>17</v>
      </c>
      <c r="AK600" t="n">
        <v>17</v>
      </c>
      <c r="AL600" t="n">
        <v>2</v>
      </c>
      <c r="AM600" t="n">
        <v>2</v>
      </c>
      <c r="AN600" t="n">
        <v>0</v>
      </c>
      <c r="AO600" t="n">
        <v>0</v>
      </c>
      <c r="AP600" t="inlineStr">
        <is>
          <t>No</t>
        </is>
      </c>
      <c r="AQ600" t="inlineStr">
        <is>
          <t>Yes</t>
        </is>
      </c>
      <c r="AR600">
        <f>HYPERLINK("http://catalog.hathitrust.org/Record/000359445","HathiTrust Record")</f>
        <v/>
      </c>
      <c r="AS600">
        <f>HYPERLINK("https://creighton-primo.hosted.exlibrisgroup.com/primo-explore/search?tab=default_tab&amp;search_scope=EVERYTHING&amp;vid=01CRU&amp;lang=en_US&amp;offset=0&amp;query=any,contains,991000001429702656","Catalog Record")</f>
        <v/>
      </c>
      <c r="AT600">
        <f>HYPERLINK("http://www.worldcat.org/oclc/10379","WorldCat Record")</f>
        <v/>
      </c>
      <c r="AU600" t="inlineStr">
        <is>
          <t>891313939:eng</t>
        </is>
      </c>
      <c r="AV600" t="inlineStr">
        <is>
          <t>10379</t>
        </is>
      </c>
      <c r="AW600" t="inlineStr">
        <is>
          <t>991000001429702656</t>
        </is>
      </c>
      <c r="AX600" t="inlineStr">
        <is>
          <t>991000001429702656</t>
        </is>
      </c>
      <c r="AY600" t="inlineStr">
        <is>
          <t>2268329550002656</t>
        </is>
      </c>
      <c r="AZ600" t="inlineStr">
        <is>
          <t>BOOK</t>
        </is>
      </c>
      <c r="BC600" t="inlineStr">
        <is>
          <t>32285002249745</t>
        </is>
      </c>
      <c r="BD600" t="inlineStr">
        <is>
          <t>893877701</t>
        </is>
      </c>
    </row>
    <row r="601">
      <c r="A601" t="inlineStr">
        <is>
          <t>No</t>
        </is>
      </c>
      <c r="B601" t="inlineStr">
        <is>
          <t>BF468 .C58</t>
        </is>
      </c>
      <c r="C601" t="inlineStr">
        <is>
          <t>0                      BF 0468000C  58</t>
        </is>
      </c>
      <c r="D601" t="inlineStr">
        <is>
          <t>Perceiving time : a psychological investigation with men and women / Thomas J. Cottle.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Cottle, Thomas J.</t>
        </is>
      </c>
      <c r="L601" t="inlineStr">
        <is>
          <t>New York : Wiley, c1976.</t>
        </is>
      </c>
      <c r="M601" t="inlineStr">
        <is>
          <t>1976</t>
        </is>
      </c>
      <c r="O601" t="inlineStr">
        <is>
          <t>eng</t>
        </is>
      </c>
      <c r="P601" t="inlineStr">
        <is>
          <t>nyu</t>
        </is>
      </c>
      <c r="R601" t="inlineStr">
        <is>
          <t xml:space="preserve">BF </t>
        </is>
      </c>
      <c r="S601" t="n">
        <v>3</v>
      </c>
      <c r="T601" t="n">
        <v>3</v>
      </c>
      <c r="U601" t="inlineStr">
        <is>
          <t>1999-11-30</t>
        </is>
      </c>
      <c r="V601" t="inlineStr">
        <is>
          <t>1999-11-30</t>
        </is>
      </c>
      <c r="W601" t="inlineStr">
        <is>
          <t>1993-08-30</t>
        </is>
      </c>
      <c r="X601" t="inlineStr">
        <is>
          <t>1993-08-30</t>
        </is>
      </c>
      <c r="Y601" t="n">
        <v>409</v>
      </c>
      <c r="Z601" t="n">
        <v>320</v>
      </c>
      <c r="AA601" t="n">
        <v>325</v>
      </c>
      <c r="AB601" t="n">
        <v>3</v>
      </c>
      <c r="AC601" t="n">
        <v>3</v>
      </c>
      <c r="AD601" t="n">
        <v>16</v>
      </c>
      <c r="AE601" t="n">
        <v>16</v>
      </c>
      <c r="AF601" t="n">
        <v>5</v>
      </c>
      <c r="AG601" t="n">
        <v>5</v>
      </c>
      <c r="AH601" t="n">
        <v>5</v>
      </c>
      <c r="AI601" t="n">
        <v>5</v>
      </c>
      <c r="AJ601" t="n">
        <v>8</v>
      </c>
      <c r="AK601" t="n">
        <v>8</v>
      </c>
      <c r="AL601" t="n">
        <v>1</v>
      </c>
      <c r="AM601" t="n">
        <v>1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HYPERLINK("http://catalog.hathitrust.org/Record/000729660","HathiTrust Record")</f>
        <v/>
      </c>
      <c r="AS601">
        <f>HYPERLINK("https://creighton-primo.hosted.exlibrisgroup.com/primo-explore/search?tab=default_tab&amp;search_scope=EVERYTHING&amp;vid=01CRU&amp;lang=en_US&amp;offset=0&amp;query=any,contains,991004076239702656","Catalog Record")</f>
        <v/>
      </c>
      <c r="AT601">
        <f>HYPERLINK("http://www.worldcat.org/oclc/2318114","WorldCat Record")</f>
        <v/>
      </c>
      <c r="AU601" t="inlineStr">
        <is>
          <t>4649214:eng</t>
        </is>
      </c>
      <c r="AV601" t="inlineStr">
        <is>
          <t>2318114</t>
        </is>
      </c>
      <c r="AW601" t="inlineStr">
        <is>
          <t>991004076239702656</t>
        </is>
      </c>
      <c r="AX601" t="inlineStr">
        <is>
          <t>991004076239702656</t>
        </is>
      </c>
      <c r="AY601" t="inlineStr">
        <is>
          <t>2263935250002656</t>
        </is>
      </c>
      <c r="AZ601" t="inlineStr">
        <is>
          <t>BOOK</t>
        </is>
      </c>
      <c r="BB601" t="inlineStr">
        <is>
          <t>9780471175308</t>
        </is>
      </c>
      <c r="BC601" t="inlineStr">
        <is>
          <t>32285001761518</t>
        </is>
      </c>
      <c r="BD601" t="inlineStr">
        <is>
          <t>893875650</t>
        </is>
      </c>
    </row>
    <row r="602">
      <c r="A602" t="inlineStr">
        <is>
          <t>No</t>
        </is>
      </c>
      <c r="B602" t="inlineStr">
        <is>
          <t>BF468 .F683</t>
        </is>
      </c>
      <c r="C602" t="inlineStr">
        <is>
          <t>0                      BF 0468000F  683</t>
        </is>
      </c>
      <c r="D602" t="inlineStr">
        <is>
          <t>The psychology of time / translated by Jennifer Leith.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Fraisse, Paul.</t>
        </is>
      </c>
      <c r="L602" t="inlineStr">
        <is>
          <t>New York : Harper &amp; Row, [1963]</t>
        </is>
      </c>
      <c r="M602" t="inlineStr">
        <is>
          <t>1963</t>
        </is>
      </c>
      <c r="O602" t="inlineStr">
        <is>
          <t>eng</t>
        </is>
      </c>
      <c r="P602" t="inlineStr">
        <is>
          <t>nyu</t>
        </is>
      </c>
      <c r="R602" t="inlineStr">
        <is>
          <t xml:space="preserve">BF </t>
        </is>
      </c>
      <c r="S602" t="n">
        <v>3</v>
      </c>
      <c r="T602" t="n">
        <v>3</v>
      </c>
      <c r="U602" t="inlineStr">
        <is>
          <t>1999-11-23</t>
        </is>
      </c>
      <c r="V602" t="inlineStr">
        <is>
          <t>1999-11-23</t>
        </is>
      </c>
      <c r="W602" t="inlineStr">
        <is>
          <t>1993-08-30</t>
        </is>
      </c>
      <c r="X602" t="inlineStr">
        <is>
          <t>1993-08-30</t>
        </is>
      </c>
      <c r="Y602" t="n">
        <v>552</v>
      </c>
      <c r="Z602" t="n">
        <v>472</v>
      </c>
      <c r="AA602" t="n">
        <v>631</v>
      </c>
      <c r="AB602" t="n">
        <v>3</v>
      </c>
      <c r="AC602" t="n">
        <v>5</v>
      </c>
      <c r="AD602" t="n">
        <v>23</v>
      </c>
      <c r="AE602" t="n">
        <v>29</v>
      </c>
      <c r="AF602" t="n">
        <v>7</v>
      </c>
      <c r="AG602" t="n">
        <v>9</v>
      </c>
      <c r="AH602" t="n">
        <v>6</v>
      </c>
      <c r="AI602" t="n">
        <v>7</v>
      </c>
      <c r="AJ602" t="n">
        <v>15</v>
      </c>
      <c r="AK602" t="n">
        <v>19</v>
      </c>
      <c r="AL602" t="n">
        <v>2</v>
      </c>
      <c r="AM602" t="n">
        <v>3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HYPERLINK("http://catalog.hathitrust.org/Record/000359525","HathiTrust Record")</f>
        <v/>
      </c>
      <c r="AS602">
        <f>HYPERLINK("https://creighton-primo.hosted.exlibrisgroup.com/primo-explore/search?tab=default_tab&amp;search_scope=EVERYTHING&amp;vid=01CRU&amp;lang=en_US&amp;offset=0&amp;query=any,contains,991001231739702656","Catalog Record")</f>
        <v/>
      </c>
      <c r="AT602">
        <f>HYPERLINK("http://www.worldcat.org/oclc/203764","WorldCat Record")</f>
        <v/>
      </c>
      <c r="AU602" t="inlineStr">
        <is>
          <t>479219:eng</t>
        </is>
      </c>
      <c r="AV602" t="inlineStr">
        <is>
          <t>203764</t>
        </is>
      </c>
      <c r="AW602" t="inlineStr">
        <is>
          <t>991001231739702656</t>
        </is>
      </c>
      <c r="AX602" t="inlineStr">
        <is>
          <t>991001231739702656</t>
        </is>
      </c>
      <c r="AY602" t="inlineStr">
        <is>
          <t>2255944040002656</t>
        </is>
      </c>
      <c r="AZ602" t="inlineStr">
        <is>
          <t>BOOK</t>
        </is>
      </c>
      <c r="BC602" t="inlineStr">
        <is>
          <t>32285001761534</t>
        </is>
      </c>
      <c r="BD602" t="inlineStr">
        <is>
          <t>893432711</t>
        </is>
      </c>
    </row>
    <row r="603">
      <c r="A603" t="inlineStr">
        <is>
          <t>No</t>
        </is>
      </c>
      <c r="B603" t="inlineStr">
        <is>
          <t>BF469 .D68</t>
        </is>
      </c>
      <c r="C603" t="inlineStr">
        <is>
          <t>0                      BF 0469000D  68</t>
        </is>
      </c>
      <c r="D603" t="inlineStr">
        <is>
          <t>Image and environment; cognitive mapping and spatial behavior. Edited by Roger M. Downs and David Stea. Foreword by Kenneth E. Boulding.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Downs, Roger M.</t>
        </is>
      </c>
      <c r="L603" t="inlineStr">
        <is>
          <t>Chicago, Aldine Pub. Co. [1973]</t>
        </is>
      </c>
      <c r="M603" t="inlineStr">
        <is>
          <t>1973</t>
        </is>
      </c>
      <c r="O603" t="inlineStr">
        <is>
          <t>eng</t>
        </is>
      </c>
      <c r="P603" t="inlineStr">
        <is>
          <t>ilu</t>
        </is>
      </c>
      <c r="R603" t="inlineStr">
        <is>
          <t xml:space="preserve">BF </t>
        </is>
      </c>
      <c r="S603" t="n">
        <v>4</v>
      </c>
      <c r="T603" t="n">
        <v>4</v>
      </c>
      <c r="U603" t="inlineStr">
        <is>
          <t>1999-11-22</t>
        </is>
      </c>
      <c r="V603" t="inlineStr">
        <is>
          <t>1999-11-22</t>
        </is>
      </c>
      <c r="W603" t="inlineStr">
        <is>
          <t>1996-07-30</t>
        </is>
      </c>
      <c r="X603" t="inlineStr">
        <is>
          <t>1996-07-30</t>
        </is>
      </c>
      <c r="Y603" t="n">
        <v>748</v>
      </c>
      <c r="Z603" t="n">
        <v>576</v>
      </c>
      <c r="AA603" t="n">
        <v>626</v>
      </c>
      <c r="AB603" t="n">
        <v>5</v>
      </c>
      <c r="AC603" t="n">
        <v>5</v>
      </c>
      <c r="AD603" t="n">
        <v>23</v>
      </c>
      <c r="AE603" t="n">
        <v>25</v>
      </c>
      <c r="AF603" t="n">
        <v>7</v>
      </c>
      <c r="AG603" t="n">
        <v>8</v>
      </c>
      <c r="AH603" t="n">
        <v>6</v>
      </c>
      <c r="AI603" t="n">
        <v>6</v>
      </c>
      <c r="AJ603" t="n">
        <v>10</v>
      </c>
      <c r="AK603" t="n">
        <v>12</v>
      </c>
      <c r="AL603" t="n">
        <v>4</v>
      </c>
      <c r="AM603" t="n">
        <v>4</v>
      </c>
      <c r="AN603" t="n">
        <v>1</v>
      </c>
      <c r="AO603" t="n">
        <v>1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HYPERLINK("http://catalog.hathitrust.org/Record/000359871","HathiTrust Record")</f>
        <v/>
      </c>
      <c r="AS603">
        <f>HYPERLINK("https://creighton-primo.hosted.exlibrisgroup.com/primo-explore/search?tab=default_tab&amp;search_scope=EVERYTHING&amp;vid=01CRU&amp;lang=en_US&amp;offset=0&amp;query=any,contains,991003254629702656","Catalog Record")</f>
        <v/>
      </c>
      <c r="AT603">
        <f>HYPERLINK("http://www.worldcat.org/oclc/779458","WorldCat Record")</f>
        <v/>
      </c>
      <c r="AU603" t="inlineStr">
        <is>
          <t>865349931:eng</t>
        </is>
      </c>
      <c r="AV603" t="inlineStr">
        <is>
          <t>779458</t>
        </is>
      </c>
      <c r="AW603" t="inlineStr">
        <is>
          <t>991003254629702656</t>
        </is>
      </c>
      <c r="AX603" t="inlineStr">
        <is>
          <t>991003254629702656</t>
        </is>
      </c>
      <c r="AY603" t="inlineStr">
        <is>
          <t>2265523570002656</t>
        </is>
      </c>
      <c r="AZ603" t="inlineStr">
        <is>
          <t>BOOK</t>
        </is>
      </c>
      <c r="BB603" t="inlineStr">
        <is>
          <t>9780202100586</t>
        </is>
      </c>
      <c r="BC603" t="inlineStr">
        <is>
          <t>32285002249760</t>
        </is>
      </c>
      <c r="BD603" t="inlineStr">
        <is>
          <t>893352742</t>
        </is>
      </c>
    </row>
    <row r="604">
      <c r="A604" t="inlineStr">
        <is>
          <t>No</t>
        </is>
      </c>
      <c r="B604" t="inlineStr">
        <is>
          <t>BF469 .S68</t>
        </is>
      </c>
      <c r="C604" t="inlineStr">
        <is>
          <t>0                      BF 0469000S  68</t>
        </is>
      </c>
      <c r="D604" t="inlineStr">
        <is>
          <t>Spatial representation and behavior across the life span : theory and application / edited by Lynn S. Liben, Arthur H. Patterson, Nora Newcombe.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L604" t="inlineStr">
        <is>
          <t>New York : Academic Press, 1981.</t>
        </is>
      </c>
      <c r="M604" t="inlineStr">
        <is>
          <t>1980</t>
        </is>
      </c>
      <c r="O604" t="inlineStr">
        <is>
          <t>eng</t>
        </is>
      </c>
      <c r="P604" t="inlineStr">
        <is>
          <t>nyu</t>
        </is>
      </c>
      <c r="Q604" t="inlineStr">
        <is>
          <t>Developmental psychology</t>
        </is>
      </c>
      <c r="R604" t="inlineStr">
        <is>
          <t xml:space="preserve">BF </t>
        </is>
      </c>
      <c r="S604" t="n">
        <v>2</v>
      </c>
      <c r="T604" t="n">
        <v>2</v>
      </c>
      <c r="U604" t="inlineStr">
        <is>
          <t>1999-11-12</t>
        </is>
      </c>
      <c r="V604" t="inlineStr">
        <is>
          <t>1999-11-12</t>
        </is>
      </c>
      <c r="W604" t="inlineStr">
        <is>
          <t>1993-03-31</t>
        </is>
      </c>
      <c r="X604" t="inlineStr">
        <is>
          <t>1993-03-31</t>
        </is>
      </c>
      <c r="Y604" t="n">
        <v>360</v>
      </c>
      <c r="Z604" t="n">
        <v>252</v>
      </c>
      <c r="AA604" t="n">
        <v>261</v>
      </c>
      <c r="AB604" t="n">
        <v>2</v>
      </c>
      <c r="AC604" t="n">
        <v>2</v>
      </c>
      <c r="AD604" t="n">
        <v>13</v>
      </c>
      <c r="AE604" t="n">
        <v>13</v>
      </c>
      <c r="AF604" t="n">
        <v>3</v>
      </c>
      <c r="AG604" t="n">
        <v>3</v>
      </c>
      <c r="AH604" t="n">
        <v>5</v>
      </c>
      <c r="AI604" t="n">
        <v>5</v>
      </c>
      <c r="AJ604" t="n">
        <v>8</v>
      </c>
      <c r="AK604" t="n">
        <v>8</v>
      </c>
      <c r="AL604" t="n">
        <v>1</v>
      </c>
      <c r="AM604" t="n">
        <v>1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HYPERLINK("http://catalog.hathitrust.org/Record/000082682","HathiTrust Record")</f>
        <v/>
      </c>
      <c r="AS604">
        <f>HYPERLINK("https://creighton-primo.hosted.exlibrisgroup.com/primo-explore/search?tab=default_tab&amp;search_scope=EVERYTHING&amp;vid=01CRU&amp;lang=en_US&amp;offset=0&amp;query=any,contains,991005064049702656","Catalog Record")</f>
        <v/>
      </c>
      <c r="AT604">
        <f>HYPERLINK("http://www.worldcat.org/oclc/6942901","WorldCat Record")</f>
        <v/>
      </c>
      <c r="AU604" t="inlineStr">
        <is>
          <t>903479463:eng</t>
        </is>
      </c>
      <c r="AV604" t="inlineStr">
        <is>
          <t>6942901</t>
        </is>
      </c>
      <c r="AW604" t="inlineStr">
        <is>
          <t>991005064049702656</t>
        </is>
      </c>
      <c r="AX604" t="inlineStr">
        <is>
          <t>991005064049702656</t>
        </is>
      </c>
      <c r="AY604" t="inlineStr">
        <is>
          <t>2257577080002656</t>
        </is>
      </c>
      <c r="AZ604" t="inlineStr">
        <is>
          <t>BOOK</t>
        </is>
      </c>
      <c r="BB604" t="inlineStr">
        <is>
          <t>9780124479807</t>
        </is>
      </c>
      <c r="BC604" t="inlineStr">
        <is>
          <t>32285001595858</t>
        </is>
      </c>
      <c r="BD604" t="inlineStr">
        <is>
          <t>893722728</t>
        </is>
      </c>
    </row>
    <row r="605">
      <c r="A605" t="inlineStr">
        <is>
          <t>No</t>
        </is>
      </c>
      <c r="B605" t="inlineStr">
        <is>
          <t>BF471.C5 J6 1972</t>
        </is>
      </c>
      <c r="C605" t="inlineStr">
        <is>
          <t>0                      BF 0471000C  5                  J  6           1972</t>
        </is>
      </c>
      <c r="D605" t="inlineStr">
        <is>
          <t>Living with change: the semantics of coping. Observations by Wendell Johnson. Selected and synthesized by Dorothy Moeller.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Johnson, Wendell, 1906-1965.</t>
        </is>
      </c>
      <c r="L605" t="inlineStr">
        <is>
          <t>New York, Harper &amp; Row [1972]</t>
        </is>
      </c>
      <c r="M605" t="inlineStr">
        <is>
          <t>1972</t>
        </is>
      </c>
      <c r="O605" t="inlineStr">
        <is>
          <t>eng</t>
        </is>
      </c>
      <c r="P605" t="inlineStr">
        <is>
          <t>nyu</t>
        </is>
      </c>
      <c r="R605" t="inlineStr">
        <is>
          <t xml:space="preserve">BF </t>
        </is>
      </c>
      <c r="S605" t="n">
        <v>2</v>
      </c>
      <c r="T605" t="n">
        <v>2</v>
      </c>
      <c r="U605" t="inlineStr">
        <is>
          <t>2002-05-02</t>
        </is>
      </c>
      <c r="V605" t="inlineStr">
        <is>
          <t>2002-05-02</t>
        </is>
      </c>
      <c r="W605" t="inlineStr">
        <is>
          <t>1993-03-31</t>
        </is>
      </c>
      <c r="X605" t="inlineStr">
        <is>
          <t>1993-03-31</t>
        </is>
      </c>
      <c r="Y605" t="n">
        <v>460</v>
      </c>
      <c r="Z605" t="n">
        <v>412</v>
      </c>
      <c r="AA605" t="n">
        <v>412</v>
      </c>
      <c r="AB605" t="n">
        <v>5</v>
      </c>
      <c r="AC605" t="n">
        <v>5</v>
      </c>
      <c r="AD605" t="n">
        <v>16</v>
      </c>
      <c r="AE605" t="n">
        <v>16</v>
      </c>
      <c r="AF605" t="n">
        <v>5</v>
      </c>
      <c r="AG605" t="n">
        <v>5</v>
      </c>
      <c r="AH605" t="n">
        <v>6</v>
      </c>
      <c r="AI605" t="n">
        <v>6</v>
      </c>
      <c r="AJ605" t="n">
        <v>6</v>
      </c>
      <c r="AK605" t="n">
        <v>6</v>
      </c>
      <c r="AL605" t="n">
        <v>3</v>
      </c>
      <c r="AM605" t="n">
        <v>3</v>
      </c>
      <c r="AN605" t="n">
        <v>0</v>
      </c>
      <c r="AO605" t="n">
        <v>0</v>
      </c>
      <c r="AP605" t="inlineStr">
        <is>
          <t>No</t>
        </is>
      </c>
      <c r="AQ605" t="inlineStr">
        <is>
          <t>No</t>
        </is>
      </c>
      <c r="AS605">
        <f>HYPERLINK("https://creighton-primo.hosted.exlibrisgroup.com/primo-explore/search?tab=default_tab&amp;search_scope=EVERYTHING&amp;vid=01CRU&amp;lang=en_US&amp;offset=0&amp;query=any,contains,991002712989702656","Catalog Record")</f>
        <v/>
      </c>
      <c r="AT605">
        <f>HYPERLINK("http://www.worldcat.org/oclc/410397","WorldCat Record")</f>
        <v/>
      </c>
      <c r="AU605" t="inlineStr">
        <is>
          <t>283832416:eng</t>
        </is>
      </c>
      <c r="AV605" t="inlineStr">
        <is>
          <t>410397</t>
        </is>
      </c>
      <c r="AW605" t="inlineStr">
        <is>
          <t>991002712989702656</t>
        </is>
      </c>
      <c r="AX605" t="inlineStr">
        <is>
          <t>991002712989702656</t>
        </is>
      </c>
      <c r="AY605" t="inlineStr">
        <is>
          <t>2265612390002656</t>
        </is>
      </c>
      <c r="AZ605" t="inlineStr">
        <is>
          <t>BOOK</t>
        </is>
      </c>
      <c r="BB605" t="inlineStr">
        <is>
          <t>9780060433482</t>
        </is>
      </c>
      <c r="BC605" t="inlineStr">
        <is>
          <t>32285001595866</t>
        </is>
      </c>
      <c r="BD605" t="inlineStr">
        <is>
          <t>893698157</t>
        </is>
      </c>
    </row>
    <row r="606">
      <c r="A606" t="inlineStr">
        <is>
          <t>No</t>
        </is>
      </c>
      <c r="B606" t="inlineStr">
        <is>
          <t>BF481 .N34 1985</t>
        </is>
      </c>
      <c r="C606" t="inlineStr">
        <is>
          <t>0                      BF 0481000N  34          1985</t>
        </is>
      </c>
      <c r="D606" t="inlineStr">
        <is>
          <t>Work and human behavior / Walter S. Neff.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Neff, Walter S. (Walter Scott), 1910-1997.</t>
        </is>
      </c>
      <c r="L606" t="inlineStr">
        <is>
          <t>New York : Aldine Pub. Co., c1985.</t>
        </is>
      </c>
      <c r="M606" t="inlineStr">
        <is>
          <t>1985</t>
        </is>
      </c>
      <c r="N606" t="inlineStr">
        <is>
          <t>3rd ed.</t>
        </is>
      </c>
      <c r="O606" t="inlineStr">
        <is>
          <t>eng</t>
        </is>
      </c>
      <c r="P606" t="inlineStr">
        <is>
          <t>nyu</t>
        </is>
      </c>
      <c r="R606" t="inlineStr">
        <is>
          <t xml:space="preserve">BF </t>
        </is>
      </c>
      <c r="S606" t="n">
        <v>4</v>
      </c>
      <c r="T606" t="n">
        <v>4</v>
      </c>
      <c r="U606" t="inlineStr">
        <is>
          <t>1996-10-20</t>
        </is>
      </c>
      <c r="V606" t="inlineStr">
        <is>
          <t>1996-10-20</t>
        </is>
      </c>
      <c r="W606" t="inlineStr">
        <is>
          <t>1993-03-31</t>
        </is>
      </c>
      <c r="X606" t="inlineStr">
        <is>
          <t>1993-03-31</t>
        </is>
      </c>
      <c r="Y606" t="n">
        <v>570</v>
      </c>
      <c r="Z606" t="n">
        <v>467</v>
      </c>
      <c r="AA606" t="n">
        <v>968</v>
      </c>
      <c r="AB606" t="n">
        <v>4</v>
      </c>
      <c r="AC606" t="n">
        <v>6</v>
      </c>
      <c r="AD606" t="n">
        <v>24</v>
      </c>
      <c r="AE606" t="n">
        <v>45</v>
      </c>
      <c r="AF606" t="n">
        <v>8</v>
      </c>
      <c r="AG606" t="n">
        <v>21</v>
      </c>
      <c r="AH606" t="n">
        <v>6</v>
      </c>
      <c r="AI606" t="n">
        <v>11</v>
      </c>
      <c r="AJ606" t="n">
        <v>11</v>
      </c>
      <c r="AK606" t="n">
        <v>20</v>
      </c>
      <c r="AL606" t="n">
        <v>3</v>
      </c>
      <c r="AM606" t="n">
        <v>5</v>
      </c>
      <c r="AN606" t="n">
        <v>0</v>
      </c>
      <c r="AO606" t="n">
        <v>0</v>
      </c>
      <c r="AP606" t="inlineStr">
        <is>
          <t>No</t>
        </is>
      </c>
      <c r="AQ606" t="inlineStr">
        <is>
          <t>No</t>
        </is>
      </c>
      <c r="AS606">
        <f>HYPERLINK("https://creighton-primo.hosted.exlibrisgroup.com/primo-explore/search?tab=default_tab&amp;search_scope=EVERYTHING&amp;vid=01CRU&amp;lang=en_US&amp;offset=0&amp;query=any,contains,991000566949702656","Catalog Record")</f>
        <v/>
      </c>
      <c r="AT606">
        <f>HYPERLINK("http://www.worldcat.org/oclc/11622624","WorldCat Record")</f>
        <v/>
      </c>
      <c r="AU606" t="inlineStr">
        <is>
          <t>242235074:eng</t>
        </is>
      </c>
      <c r="AV606" t="inlineStr">
        <is>
          <t>11622624</t>
        </is>
      </c>
      <c r="AW606" t="inlineStr">
        <is>
          <t>991000566949702656</t>
        </is>
      </c>
      <c r="AX606" t="inlineStr">
        <is>
          <t>991000566949702656</t>
        </is>
      </c>
      <c r="AY606" t="inlineStr">
        <is>
          <t>2260870700002656</t>
        </is>
      </c>
      <c r="AZ606" t="inlineStr">
        <is>
          <t>BOOK</t>
        </is>
      </c>
      <c r="BB606" t="inlineStr">
        <is>
          <t>9780202303208</t>
        </is>
      </c>
      <c r="BC606" t="inlineStr">
        <is>
          <t>32285001595882</t>
        </is>
      </c>
      <c r="BD606" t="inlineStr">
        <is>
          <t>893327402</t>
        </is>
      </c>
    </row>
    <row r="607">
      <c r="A607" t="inlineStr">
        <is>
          <t>No</t>
        </is>
      </c>
      <c r="B607" t="inlineStr">
        <is>
          <t>BF481 .S87 1983</t>
        </is>
      </c>
      <c r="C607" t="inlineStr">
        <is>
          <t>0                      BF 0481000S  87          1983</t>
        </is>
      </c>
      <c r="D607" t="inlineStr">
        <is>
          <t>Stress and fatigue in human performance / edited by Robert Hockey.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L607" t="inlineStr">
        <is>
          <t>Chichester ; New York : Wiley, c1983.</t>
        </is>
      </c>
      <c r="M607" t="inlineStr">
        <is>
          <t>1983</t>
        </is>
      </c>
      <c r="O607" t="inlineStr">
        <is>
          <t>eng</t>
        </is>
      </c>
      <c r="P607" t="inlineStr">
        <is>
          <t>enk</t>
        </is>
      </c>
      <c r="Q607" t="inlineStr">
        <is>
          <t>Wiley series on studies in human performance</t>
        </is>
      </c>
      <c r="R607" t="inlineStr">
        <is>
          <t xml:space="preserve">BF </t>
        </is>
      </c>
      <c r="S607" t="n">
        <v>6</v>
      </c>
      <c r="T607" t="n">
        <v>6</v>
      </c>
      <c r="U607" t="inlineStr">
        <is>
          <t>1998-09-27</t>
        </is>
      </c>
      <c r="V607" t="inlineStr">
        <is>
          <t>1998-09-27</t>
        </is>
      </c>
      <c r="W607" t="inlineStr">
        <is>
          <t>1990-06-28</t>
        </is>
      </c>
      <c r="X607" t="inlineStr">
        <is>
          <t>1990-06-28</t>
        </is>
      </c>
      <c r="Y607" t="n">
        <v>674</v>
      </c>
      <c r="Z607" t="n">
        <v>504</v>
      </c>
      <c r="AA607" t="n">
        <v>512</v>
      </c>
      <c r="AB607" t="n">
        <v>5</v>
      </c>
      <c r="AC607" t="n">
        <v>5</v>
      </c>
      <c r="AD607" t="n">
        <v>28</v>
      </c>
      <c r="AE607" t="n">
        <v>28</v>
      </c>
      <c r="AF607" t="n">
        <v>13</v>
      </c>
      <c r="AG607" t="n">
        <v>13</v>
      </c>
      <c r="AH607" t="n">
        <v>6</v>
      </c>
      <c r="AI607" t="n">
        <v>6</v>
      </c>
      <c r="AJ607" t="n">
        <v>11</v>
      </c>
      <c r="AK607" t="n">
        <v>11</v>
      </c>
      <c r="AL607" t="n">
        <v>4</v>
      </c>
      <c r="AM607" t="n">
        <v>4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HYPERLINK("http://catalog.hathitrust.org/Record/000314044","HathiTrust Record")</f>
        <v/>
      </c>
      <c r="AS607">
        <f>HYPERLINK("https://creighton-primo.hosted.exlibrisgroup.com/primo-explore/search?tab=default_tab&amp;search_scope=EVERYTHING&amp;vid=01CRU&amp;lang=en_US&amp;offset=0&amp;query=any,contains,991000055149702656","Catalog Record")</f>
        <v/>
      </c>
      <c r="AT607">
        <f>HYPERLINK("http://www.worldcat.org/oclc/8708729","WorldCat Record")</f>
        <v/>
      </c>
      <c r="AU607" t="inlineStr">
        <is>
          <t>489439:eng</t>
        </is>
      </c>
      <c r="AV607" t="inlineStr">
        <is>
          <t>8708729</t>
        </is>
      </c>
      <c r="AW607" t="inlineStr">
        <is>
          <t>991000055149702656</t>
        </is>
      </c>
      <c r="AX607" t="inlineStr">
        <is>
          <t>991000055149702656</t>
        </is>
      </c>
      <c r="AY607" t="inlineStr">
        <is>
          <t>2255467000002656</t>
        </is>
      </c>
      <c r="AZ607" t="inlineStr">
        <is>
          <t>BOOK</t>
        </is>
      </c>
      <c r="BB607" t="inlineStr">
        <is>
          <t>9780471102656</t>
        </is>
      </c>
      <c r="BC607" t="inlineStr">
        <is>
          <t>32285000215367</t>
        </is>
      </c>
      <c r="BD607" t="inlineStr">
        <is>
          <t>893437960</t>
        </is>
      </c>
    </row>
    <row r="608">
      <c r="A608" t="inlineStr">
        <is>
          <t>No</t>
        </is>
      </c>
      <c r="B608" t="inlineStr">
        <is>
          <t>BF491 .R43 1988</t>
        </is>
      </c>
      <c r="C608" t="inlineStr">
        <is>
          <t>0                      BF 0491000R  43          1988</t>
        </is>
      </c>
      <c r="D608" t="inlineStr">
        <is>
          <t>The psychology of anomalous experience : a cognitive approach / Graham Reed.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Reed, Graham F.</t>
        </is>
      </c>
      <c r="L608" t="inlineStr">
        <is>
          <t>Buffalo, N.Y. : Prometheus Books, c1988.</t>
        </is>
      </c>
      <c r="M608" t="inlineStr">
        <is>
          <t>1988</t>
        </is>
      </c>
      <c r="N608" t="inlineStr">
        <is>
          <t>Rev. ed.</t>
        </is>
      </c>
      <c r="O608" t="inlineStr">
        <is>
          <t>eng</t>
        </is>
      </c>
      <c r="P608" t="inlineStr">
        <is>
          <t>nyu</t>
        </is>
      </c>
      <c r="R608" t="inlineStr">
        <is>
          <t xml:space="preserve">BF </t>
        </is>
      </c>
      <c r="S608" t="n">
        <v>6</v>
      </c>
      <c r="T608" t="n">
        <v>6</v>
      </c>
      <c r="U608" t="inlineStr">
        <is>
          <t>1995-11-12</t>
        </is>
      </c>
      <c r="V608" t="inlineStr">
        <is>
          <t>1995-11-12</t>
        </is>
      </c>
      <c r="W608" t="inlineStr">
        <is>
          <t>1990-08-17</t>
        </is>
      </c>
      <c r="X608" t="inlineStr">
        <is>
          <t>1990-08-17</t>
        </is>
      </c>
      <c r="Y608" t="n">
        <v>226</v>
      </c>
      <c r="Z608" t="n">
        <v>182</v>
      </c>
      <c r="AA608" t="n">
        <v>453</v>
      </c>
      <c r="AB608" t="n">
        <v>4</v>
      </c>
      <c r="AC608" t="n">
        <v>5</v>
      </c>
      <c r="AD608" t="n">
        <v>10</v>
      </c>
      <c r="AE608" t="n">
        <v>21</v>
      </c>
      <c r="AF608" t="n">
        <v>3</v>
      </c>
      <c r="AG608" t="n">
        <v>7</v>
      </c>
      <c r="AH608" t="n">
        <v>1</v>
      </c>
      <c r="AI608" t="n">
        <v>3</v>
      </c>
      <c r="AJ608" t="n">
        <v>6</v>
      </c>
      <c r="AK608" t="n">
        <v>11</v>
      </c>
      <c r="AL608" t="n">
        <v>3</v>
      </c>
      <c r="AM608" t="n">
        <v>4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HYPERLINK("http://catalog.hathitrust.org/Record/001093576","HathiTrust Record")</f>
        <v/>
      </c>
      <c r="AS608">
        <f>HYPERLINK("https://creighton-primo.hosted.exlibrisgroup.com/primo-explore/search?tab=default_tab&amp;search_scope=EVERYTHING&amp;vid=01CRU&amp;lang=en_US&amp;offset=0&amp;query=any,contains,991001383609702656","Catalog Record")</f>
        <v/>
      </c>
      <c r="AT608">
        <f>HYPERLINK("http://www.worldcat.org/oclc/19522154","WorldCat Record")</f>
        <v/>
      </c>
      <c r="AU608" t="inlineStr">
        <is>
          <t>1793019:eng</t>
        </is>
      </c>
      <c r="AV608" t="inlineStr">
        <is>
          <t>19522154</t>
        </is>
      </c>
      <c r="AW608" t="inlineStr">
        <is>
          <t>991001383609702656</t>
        </is>
      </c>
      <c r="AX608" t="inlineStr">
        <is>
          <t>991001383609702656</t>
        </is>
      </c>
      <c r="AY608" t="inlineStr">
        <is>
          <t>2262155520002656</t>
        </is>
      </c>
      <c r="AZ608" t="inlineStr">
        <is>
          <t>BOOK</t>
        </is>
      </c>
      <c r="BB608" t="inlineStr">
        <is>
          <t>9780879754358</t>
        </is>
      </c>
      <c r="BC608" t="inlineStr">
        <is>
          <t>32285000244078</t>
        </is>
      </c>
      <c r="BD608" t="inlineStr">
        <is>
          <t>893315743</t>
        </is>
      </c>
    </row>
    <row r="609">
      <c r="A609" t="inlineStr">
        <is>
          <t>No</t>
        </is>
      </c>
      <c r="B609" t="inlineStr">
        <is>
          <t>BF503 .F74</t>
        </is>
      </c>
      <c r="C609" t="inlineStr">
        <is>
          <t>0                      BF 0503000F  74</t>
        </is>
      </c>
      <c r="D609" t="inlineStr">
        <is>
          <t>Human nature and predictability / Myles I. Friedman, Martha R. Willis.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Friedman, Myles I., 1924-</t>
        </is>
      </c>
      <c r="L609" t="inlineStr">
        <is>
          <t>Lexington, Mass. : Lexington Books, c1981.</t>
        </is>
      </c>
      <c r="M609" t="inlineStr">
        <is>
          <t>1981</t>
        </is>
      </c>
      <c r="O609" t="inlineStr">
        <is>
          <t>eng</t>
        </is>
      </c>
      <c r="P609" t="inlineStr">
        <is>
          <t>mau</t>
        </is>
      </c>
      <c r="R609" t="inlineStr">
        <is>
          <t xml:space="preserve">BF </t>
        </is>
      </c>
      <c r="S609" t="n">
        <v>1</v>
      </c>
      <c r="T609" t="n">
        <v>1</v>
      </c>
      <c r="U609" t="inlineStr">
        <is>
          <t>1995-03-20</t>
        </is>
      </c>
      <c r="V609" t="inlineStr">
        <is>
          <t>1995-03-20</t>
        </is>
      </c>
      <c r="W609" t="inlineStr">
        <is>
          <t>1993-03-31</t>
        </is>
      </c>
      <c r="X609" t="inlineStr">
        <is>
          <t>1993-03-31</t>
        </is>
      </c>
      <c r="Y609" t="n">
        <v>278</v>
      </c>
      <c r="Z609" t="n">
        <v>218</v>
      </c>
      <c r="AA609" t="n">
        <v>221</v>
      </c>
      <c r="AB609" t="n">
        <v>2</v>
      </c>
      <c r="AC609" t="n">
        <v>2</v>
      </c>
      <c r="AD609" t="n">
        <v>11</v>
      </c>
      <c r="AE609" t="n">
        <v>11</v>
      </c>
      <c r="AF609" t="n">
        <v>7</v>
      </c>
      <c r="AG609" t="n">
        <v>7</v>
      </c>
      <c r="AH609" t="n">
        <v>3</v>
      </c>
      <c r="AI609" t="n">
        <v>3</v>
      </c>
      <c r="AJ609" t="n">
        <v>3</v>
      </c>
      <c r="AK609" t="n">
        <v>3</v>
      </c>
      <c r="AL609" t="n">
        <v>1</v>
      </c>
      <c r="AM609" t="n">
        <v>1</v>
      </c>
      <c r="AN609" t="n">
        <v>0</v>
      </c>
      <c r="AO609" t="n">
        <v>0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HYPERLINK("http://catalog.hathitrust.org/Record/000181149","HathiTrust Record")</f>
        <v/>
      </c>
      <c r="AS609">
        <f>HYPERLINK("https://creighton-primo.hosted.exlibrisgroup.com/primo-explore/search?tab=default_tab&amp;search_scope=EVERYTHING&amp;vid=01CRU&amp;lang=en_US&amp;offset=0&amp;query=any,contains,991005134589702656","Catalog Record")</f>
        <v/>
      </c>
      <c r="AT609">
        <f>HYPERLINK("http://www.worldcat.org/oclc/7575632","WorldCat Record")</f>
        <v/>
      </c>
      <c r="AU609" t="inlineStr">
        <is>
          <t>12753814:eng</t>
        </is>
      </c>
      <c r="AV609" t="inlineStr">
        <is>
          <t>7575632</t>
        </is>
      </c>
      <c r="AW609" t="inlineStr">
        <is>
          <t>991005134589702656</t>
        </is>
      </c>
      <c r="AX609" t="inlineStr">
        <is>
          <t>991005134589702656</t>
        </is>
      </c>
      <c r="AY609" t="inlineStr">
        <is>
          <t>2265612510002656</t>
        </is>
      </c>
      <c r="AZ609" t="inlineStr">
        <is>
          <t>BOOK</t>
        </is>
      </c>
      <c r="BB609" t="inlineStr">
        <is>
          <t>9780669046847</t>
        </is>
      </c>
      <c r="BC609" t="inlineStr">
        <is>
          <t>32285001595890</t>
        </is>
      </c>
      <c r="BD609" t="inlineStr">
        <is>
          <t>893870574</t>
        </is>
      </c>
    </row>
    <row r="610">
      <c r="A610" t="inlineStr">
        <is>
          <t>No</t>
        </is>
      </c>
      <c r="B610" t="inlineStr">
        <is>
          <t>BF503 .H35 1983</t>
        </is>
      </c>
      <c r="C610" t="inlineStr">
        <is>
          <t>0                      BF 0503000H  35          1983</t>
        </is>
      </c>
      <c r="D610" t="inlineStr">
        <is>
          <t>The cognitive structures and processes of human motivation and personality / Vernon Hamilton.</t>
        </is>
      </c>
      <c r="F610" t="inlineStr">
        <is>
          <t>No</t>
        </is>
      </c>
      <c r="G610" t="inlineStr">
        <is>
          <t>1</t>
        </is>
      </c>
      <c r="H610" t="inlineStr">
        <is>
          <t>Yes</t>
        </is>
      </c>
      <c r="I610" t="inlineStr">
        <is>
          <t>No</t>
        </is>
      </c>
      <c r="J610" t="inlineStr">
        <is>
          <t>0</t>
        </is>
      </c>
      <c r="K610" t="inlineStr">
        <is>
          <t>Hamilton, Vernon.</t>
        </is>
      </c>
      <c r="L610" t="inlineStr">
        <is>
          <t>Chichester, Sussex, England ; New York : Wiley, c1983, 1984 printing.</t>
        </is>
      </c>
      <c r="M610" t="inlineStr">
        <is>
          <t>1983</t>
        </is>
      </c>
      <c r="O610" t="inlineStr">
        <is>
          <t>eng</t>
        </is>
      </c>
      <c r="P610" t="inlineStr">
        <is>
          <t>enk</t>
        </is>
      </c>
      <c r="R610" t="inlineStr">
        <is>
          <t xml:space="preserve">BF </t>
        </is>
      </c>
      <c r="S610" t="n">
        <v>3</v>
      </c>
      <c r="T610" t="n">
        <v>3</v>
      </c>
      <c r="U610" t="inlineStr">
        <is>
          <t>2005-11-09</t>
        </is>
      </c>
      <c r="V610" t="inlineStr">
        <is>
          <t>2005-11-09</t>
        </is>
      </c>
      <c r="W610" t="inlineStr">
        <is>
          <t>1990-04-04</t>
        </is>
      </c>
      <c r="X610" t="inlineStr">
        <is>
          <t>1990-04-04</t>
        </is>
      </c>
      <c r="Y610" t="n">
        <v>419</v>
      </c>
      <c r="Z610" t="n">
        <v>290</v>
      </c>
      <c r="AA610" t="n">
        <v>297</v>
      </c>
      <c r="AB610" t="n">
        <v>3</v>
      </c>
      <c r="AC610" t="n">
        <v>3</v>
      </c>
      <c r="AD610" t="n">
        <v>11</v>
      </c>
      <c r="AE610" t="n">
        <v>11</v>
      </c>
      <c r="AF610" t="n">
        <v>3</v>
      </c>
      <c r="AG610" t="n">
        <v>3</v>
      </c>
      <c r="AH610" t="n">
        <v>4</v>
      </c>
      <c r="AI610" t="n">
        <v>4</v>
      </c>
      <c r="AJ610" t="n">
        <v>7</v>
      </c>
      <c r="AK610" t="n">
        <v>7</v>
      </c>
      <c r="AL610" t="n">
        <v>1</v>
      </c>
      <c r="AM610" t="n">
        <v>1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HYPERLINK("http://catalog.hathitrust.org/Record/000275363","HathiTrust Record")</f>
        <v/>
      </c>
      <c r="AS610">
        <f>HYPERLINK("https://creighton-primo.hosted.exlibrisgroup.com/primo-explore/search?tab=default_tab&amp;search_scope=EVERYTHING&amp;vid=01CRU&amp;lang=en_US&amp;offset=0&amp;query=any,contains,991000059489702656","Catalog Record")</f>
        <v/>
      </c>
      <c r="AT610">
        <f>HYPERLINK("http://www.worldcat.org/oclc/8727871","WorldCat Record")</f>
        <v/>
      </c>
      <c r="AU610" t="inlineStr">
        <is>
          <t>43148227:eng</t>
        </is>
      </c>
      <c r="AV610" t="inlineStr">
        <is>
          <t>8727871</t>
        </is>
      </c>
      <c r="AW610" t="inlineStr">
        <is>
          <t>991000059489702656</t>
        </is>
      </c>
      <c r="AX610" t="inlineStr">
        <is>
          <t>991000059489702656</t>
        </is>
      </c>
      <c r="AY610" t="inlineStr">
        <is>
          <t>2272572700002656</t>
        </is>
      </c>
      <c r="AZ610" t="inlineStr">
        <is>
          <t>BOOK</t>
        </is>
      </c>
      <c r="BB610" t="inlineStr">
        <is>
          <t>9780471105268</t>
        </is>
      </c>
      <c r="BC610" t="inlineStr">
        <is>
          <t>32285000111350</t>
        </is>
      </c>
      <c r="BD610" t="inlineStr">
        <is>
          <t>893877759</t>
        </is>
      </c>
    </row>
    <row r="611">
      <c r="A611" t="inlineStr">
        <is>
          <t>No</t>
        </is>
      </c>
      <c r="B611" t="inlineStr">
        <is>
          <t>BF503 .M42 1987</t>
        </is>
      </c>
      <c r="C611" t="inlineStr">
        <is>
          <t>0                      BF 0503000M  42          1987</t>
        </is>
      </c>
      <c r="D611" t="inlineStr">
        <is>
          <t>Human motivation / David C. McClelland.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Yes</t>
        </is>
      </c>
      <c r="J611" t="inlineStr">
        <is>
          <t>0</t>
        </is>
      </c>
      <c r="K611" t="inlineStr">
        <is>
          <t>McClelland, David C. (David Clarence)</t>
        </is>
      </c>
      <c r="L611" t="inlineStr">
        <is>
          <t>Cambridge [England] ; New York : Cambridge University Press, 1987.</t>
        </is>
      </c>
      <c r="M611" t="inlineStr">
        <is>
          <t>1987</t>
        </is>
      </c>
      <c r="O611" t="inlineStr">
        <is>
          <t>eng</t>
        </is>
      </c>
      <c r="P611" t="inlineStr">
        <is>
          <t>enk</t>
        </is>
      </c>
      <c r="R611" t="inlineStr">
        <is>
          <t xml:space="preserve">BF </t>
        </is>
      </c>
      <c r="S611" t="n">
        <v>8</v>
      </c>
      <c r="T611" t="n">
        <v>8</v>
      </c>
      <c r="U611" t="inlineStr">
        <is>
          <t>2009-05-04</t>
        </is>
      </c>
      <c r="V611" t="inlineStr">
        <is>
          <t>2009-05-04</t>
        </is>
      </c>
      <c r="W611" t="inlineStr">
        <is>
          <t>1997-07-31</t>
        </is>
      </c>
      <c r="X611" t="inlineStr">
        <is>
          <t>1997-07-31</t>
        </is>
      </c>
      <c r="Y611" t="n">
        <v>253</v>
      </c>
      <c r="Z611" t="n">
        <v>137</v>
      </c>
      <c r="AA611" t="n">
        <v>514</v>
      </c>
      <c r="AB611" t="n">
        <v>1</v>
      </c>
      <c r="AC611" t="n">
        <v>4</v>
      </c>
      <c r="AD611" t="n">
        <v>7</v>
      </c>
      <c r="AE611" t="n">
        <v>23</v>
      </c>
      <c r="AF611" t="n">
        <v>1</v>
      </c>
      <c r="AG611" t="n">
        <v>6</v>
      </c>
      <c r="AH611" t="n">
        <v>3</v>
      </c>
      <c r="AI611" t="n">
        <v>7</v>
      </c>
      <c r="AJ611" t="n">
        <v>4</v>
      </c>
      <c r="AK611" t="n">
        <v>13</v>
      </c>
      <c r="AL611" t="n">
        <v>0</v>
      </c>
      <c r="AM611" t="n">
        <v>3</v>
      </c>
      <c r="AN611" t="n">
        <v>0</v>
      </c>
      <c r="AO611" t="n">
        <v>0</v>
      </c>
      <c r="AP611" t="inlineStr">
        <is>
          <t>No</t>
        </is>
      </c>
      <c r="AQ611" t="inlineStr">
        <is>
          <t>No</t>
        </is>
      </c>
      <c r="AS611">
        <f>HYPERLINK("https://creighton-primo.hosted.exlibrisgroup.com/primo-explore/search?tab=default_tab&amp;search_scope=EVERYTHING&amp;vid=01CRU&amp;lang=en_US&amp;offset=0&amp;query=any,contains,991001363019702656","Catalog Record")</f>
        <v/>
      </c>
      <c r="AT611">
        <f>HYPERLINK("http://www.worldcat.org/oclc/18530087","WorldCat Record")</f>
        <v/>
      </c>
      <c r="AU611" t="inlineStr">
        <is>
          <t>3993575:eng</t>
        </is>
      </c>
      <c r="AV611" t="inlineStr">
        <is>
          <t>18530087</t>
        </is>
      </c>
      <c r="AW611" t="inlineStr">
        <is>
          <t>991001363019702656</t>
        </is>
      </c>
      <c r="AX611" t="inlineStr">
        <is>
          <t>991001363019702656</t>
        </is>
      </c>
      <c r="AY611" t="inlineStr">
        <is>
          <t>2262530260002656</t>
        </is>
      </c>
      <c r="AZ611" t="inlineStr">
        <is>
          <t>BOOK</t>
        </is>
      </c>
      <c r="BB611" t="inlineStr">
        <is>
          <t>9780521369510</t>
        </is>
      </c>
      <c r="BC611" t="inlineStr">
        <is>
          <t>32285003000055</t>
        </is>
      </c>
      <c r="BD611" t="inlineStr">
        <is>
          <t>893420265</t>
        </is>
      </c>
    </row>
    <row r="612">
      <c r="A612" t="inlineStr">
        <is>
          <t>No</t>
        </is>
      </c>
      <c r="B612" t="inlineStr">
        <is>
          <t>BF503 .P48 1990</t>
        </is>
      </c>
      <c r="C612" t="inlineStr">
        <is>
          <t>0                      BF 0503000P  48          1990</t>
        </is>
      </c>
      <c r="D612" t="inlineStr">
        <is>
          <t>The X factor / George Plimpton.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Plimpton, George.</t>
        </is>
      </c>
      <c r="L612" t="inlineStr">
        <is>
          <t>[Knoxville, Tenn.] : Whittle Direct Books, c1990.</t>
        </is>
      </c>
      <c r="M612" t="inlineStr">
        <is>
          <t>1990</t>
        </is>
      </c>
      <c r="O612" t="inlineStr">
        <is>
          <t>eng</t>
        </is>
      </c>
      <c r="P612" t="inlineStr">
        <is>
          <t>tnu</t>
        </is>
      </c>
      <c r="Q612" t="inlineStr">
        <is>
          <t>The Larger agenda series, 1046-364X</t>
        </is>
      </c>
      <c r="R612" t="inlineStr">
        <is>
          <t xml:space="preserve">BF </t>
        </is>
      </c>
      <c r="S612" t="n">
        <v>1</v>
      </c>
      <c r="T612" t="n">
        <v>1</v>
      </c>
      <c r="U612" t="inlineStr">
        <is>
          <t>2008-11-14</t>
        </is>
      </c>
      <c r="V612" t="inlineStr">
        <is>
          <t>2008-11-14</t>
        </is>
      </c>
      <c r="W612" t="inlineStr">
        <is>
          <t>1999-03-15</t>
        </is>
      </c>
      <c r="X612" t="inlineStr">
        <is>
          <t>1999-03-15</t>
        </is>
      </c>
      <c r="Y612" t="n">
        <v>717</v>
      </c>
      <c r="Z612" t="n">
        <v>715</v>
      </c>
      <c r="AA612" t="n">
        <v>1055</v>
      </c>
      <c r="AB612" t="n">
        <v>6</v>
      </c>
      <c r="AC612" t="n">
        <v>7</v>
      </c>
      <c r="AD612" t="n">
        <v>32</v>
      </c>
      <c r="AE612" t="n">
        <v>34</v>
      </c>
      <c r="AF612" t="n">
        <v>15</v>
      </c>
      <c r="AG612" t="n">
        <v>15</v>
      </c>
      <c r="AH612" t="n">
        <v>5</v>
      </c>
      <c r="AI612" t="n">
        <v>6</v>
      </c>
      <c r="AJ612" t="n">
        <v>19</v>
      </c>
      <c r="AK612" t="n">
        <v>20</v>
      </c>
      <c r="AL612" t="n">
        <v>4</v>
      </c>
      <c r="AM612" t="n">
        <v>4</v>
      </c>
      <c r="AN612" t="n">
        <v>0</v>
      </c>
      <c r="AO612" t="n">
        <v>0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HYPERLINK("https://creighton-primo.hosted.exlibrisgroup.com/primo-explore/search?tab=default_tab&amp;search_scope=EVERYTHING&amp;vid=01CRU&amp;lang=en_US&amp;offset=0&amp;query=any,contains,991001829259702656","Catalog Record")</f>
        <v/>
      </c>
      <c r="AT612">
        <f>HYPERLINK("http://www.worldcat.org/oclc/22983105","WorldCat Record")</f>
        <v/>
      </c>
      <c r="AU612" t="inlineStr">
        <is>
          <t>909580539:eng</t>
        </is>
      </c>
      <c r="AV612" t="inlineStr">
        <is>
          <t>22983105</t>
        </is>
      </c>
      <c r="AW612" t="inlineStr">
        <is>
          <t>991001829259702656</t>
        </is>
      </c>
      <c r="AX612" t="inlineStr">
        <is>
          <t>991001829259702656</t>
        </is>
      </c>
      <c r="AY612" t="inlineStr">
        <is>
          <t>2255879300002656</t>
        </is>
      </c>
      <c r="AZ612" t="inlineStr">
        <is>
          <t>BOOK</t>
        </is>
      </c>
      <c r="BB612" t="inlineStr">
        <is>
          <t>9780962474545</t>
        </is>
      </c>
      <c r="BC612" t="inlineStr">
        <is>
          <t>32285003532081</t>
        </is>
      </c>
      <c r="BD612" t="inlineStr">
        <is>
          <t>893779115</t>
        </is>
      </c>
    </row>
    <row r="613">
      <c r="A613" t="inlineStr">
        <is>
          <t>No</t>
        </is>
      </c>
      <c r="B613" t="inlineStr">
        <is>
          <t>BF515 .B73</t>
        </is>
      </c>
      <c r="C613" t="inlineStr">
        <is>
          <t>0                      BF 0515000B  73</t>
        </is>
      </c>
      <c r="D613" t="inlineStr">
        <is>
          <t>The structure of psychological well-being / by Norman M. Bradburn, with the assistance of C. Edward Noll.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Bradburn, Norman M.</t>
        </is>
      </c>
      <c r="L613" t="inlineStr">
        <is>
          <t>Chicago : Aldine Pub. Co., [1969]</t>
        </is>
      </c>
      <c r="M613" t="inlineStr">
        <is>
          <t>1969</t>
        </is>
      </c>
      <c r="O613" t="inlineStr">
        <is>
          <t>eng</t>
        </is>
      </c>
      <c r="P613" t="inlineStr">
        <is>
          <t>ilu</t>
        </is>
      </c>
      <c r="Q613" t="inlineStr">
        <is>
          <t>National Opinion Research Center. Monographs in social research, 15</t>
        </is>
      </c>
      <c r="R613" t="inlineStr">
        <is>
          <t xml:space="preserve">BF </t>
        </is>
      </c>
      <c r="S613" t="n">
        <v>4</v>
      </c>
      <c r="T613" t="n">
        <v>4</v>
      </c>
      <c r="U613" t="inlineStr">
        <is>
          <t>2000-03-14</t>
        </is>
      </c>
      <c r="V613" t="inlineStr">
        <is>
          <t>2000-03-14</t>
        </is>
      </c>
      <c r="W613" t="inlineStr">
        <is>
          <t>1991-09-10</t>
        </is>
      </c>
      <c r="X613" t="inlineStr">
        <is>
          <t>1991-09-10</t>
        </is>
      </c>
      <c r="Y613" t="n">
        <v>499</v>
      </c>
      <c r="Z613" t="n">
        <v>410</v>
      </c>
      <c r="AA613" t="n">
        <v>424</v>
      </c>
      <c r="AB613" t="n">
        <v>3</v>
      </c>
      <c r="AC613" t="n">
        <v>3</v>
      </c>
      <c r="AD613" t="n">
        <v>15</v>
      </c>
      <c r="AE613" t="n">
        <v>16</v>
      </c>
      <c r="AF613" t="n">
        <v>1</v>
      </c>
      <c r="AG613" t="n">
        <v>2</v>
      </c>
      <c r="AH613" t="n">
        <v>5</v>
      </c>
      <c r="AI613" t="n">
        <v>5</v>
      </c>
      <c r="AJ613" t="n">
        <v>10</v>
      </c>
      <c r="AK613" t="n">
        <v>10</v>
      </c>
      <c r="AL613" t="n">
        <v>2</v>
      </c>
      <c r="AM613" t="n">
        <v>2</v>
      </c>
      <c r="AN613" t="n">
        <v>0</v>
      </c>
      <c r="AO613" t="n">
        <v>0</v>
      </c>
      <c r="AP613" t="inlineStr">
        <is>
          <t>No</t>
        </is>
      </c>
      <c r="AQ613" t="inlineStr">
        <is>
          <t>Yes</t>
        </is>
      </c>
      <c r="AR613">
        <f>HYPERLINK("http://catalog.hathitrust.org/Record/000000679","HathiTrust Record")</f>
        <v/>
      </c>
      <c r="AS613">
        <f>HYPERLINK("https://creighton-primo.hosted.exlibrisgroup.com/primo-explore/search?tab=default_tab&amp;search_scope=EVERYTHING&amp;vid=01CRU&amp;lang=en_US&amp;offset=0&amp;query=any,contains,991000158009702656","Catalog Record")</f>
        <v/>
      </c>
      <c r="AT613">
        <f>HYPERLINK("http://www.worldcat.org/oclc/60599","WorldCat Record")</f>
        <v/>
      </c>
      <c r="AU613" t="inlineStr">
        <is>
          <t>1221574:eng</t>
        </is>
      </c>
      <c r="AV613" t="inlineStr">
        <is>
          <t>60599</t>
        </is>
      </c>
      <c r="AW613" t="inlineStr">
        <is>
          <t>991000158009702656</t>
        </is>
      </c>
      <c r="AX613" t="inlineStr">
        <is>
          <t>991000158009702656</t>
        </is>
      </c>
      <c r="AY613" t="inlineStr">
        <is>
          <t>2271725330002656</t>
        </is>
      </c>
      <c r="AZ613" t="inlineStr">
        <is>
          <t>BOOK</t>
        </is>
      </c>
      <c r="BC613" t="inlineStr">
        <is>
          <t>32285000736099</t>
        </is>
      </c>
      <c r="BD613" t="inlineStr">
        <is>
          <t>893714373</t>
        </is>
      </c>
    </row>
    <row r="614">
      <c r="A614" t="inlineStr">
        <is>
          <t>No</t>
        </is>
      </c>
      <c r="B614" t="inlineStr">
        <is>
          <t>BF515 .B83</t>
        </is>
      </c>
      <c r="C614" t="inlineStr">
        <is>
          <t>0                      BF 0515000B  83</t>
        </is>
      </c>
      <c r="D614" t="inlineStr">
        <is>
          <t>Pain / F. J. J. Buytendijk ; translated by Eda O'Shiel.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K614" t="inlineStr">
        <is>
          <t>Buytendijk, F. J. J. (Frederik Jacobus Johannes), 1887-1974.</t>
        </is>
      </c>
      <c r="L614" t="inlineStr">
        <is>
          <t>London : Hutchinson, [1961]</t>
        </is>
      </c>
      <c r="M614" t="inlineStr">
        <is>
          <t>1961</t>
        </is>
      </c>
      <c r="O614" t="inlineStr">
        <is>
          <t>eng</t>
        </is>
      </c>
      <c r="P614" t="inlineStr">
        <is>
          <t>enk</t>
        </is>
      </c>
      <c r="R614" t="inlineStr">
        <is>
          <t xml:space="preserve">BF </t>
        </is>
      </c>
      <c r="S614" t="n">
        <v>4</v>
      </c>
      <c r="T614" t="n">
        <v>4</v>
      </c>
      <c r="U614" t="inlineStr">
        <is>
          <t>2001-09-18</t>
        </is>
      </c>
      <c r="V614" t="inlineStr">
        <is>
          <t>2001-09-18</t>
        </is>
      </c>
      <c r="W614" t="inlineStr">
        <is>
          <t>1993-02-26</t>
        </is>
      </c>
      <c r="X614" t="inlineStr">
        <is>
          <t>1993-02-26</t>
        </is>
      </c>
      <c r="Y614" t="n">
        <v>131</v>
      </c>
      <c r="Z614" t="n">
        <v>85</v>
      </c>
      <c r="AA614" t="n">
        <v>420</v>
      </c>
      <c r="AB614" t="n">
        <v>1</v>
      </c>
      <c r="AC614" t="n">
        <v>2</v>
      </c>
      <c r="AD614" t="n">
        <v>2</v>
      </c>
      <c r="AE614" t="n">
        <v>18</v>
      </c>
      <c r="AF614" t="n">
        <v>1</v>
      </c>
      <c r="AG614" t="n">
        <v>5</v>
      </c>
      <c r="AH614" t="n">
        <v>0</v>
      </c>
      <c r="AI614" t="n">
        <v>4</v>
      </c>
      <c r="AJ614" t="n">
        <v>1</v>
      </c>
      <c r="AK614" t="n">
        <v>11</v>
      </c>
      <c r="AL614" t="n">
        <v>0</v>
      </c>
      <c r="AM614" t="n">
        <v>1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HYPERLINK("https://creighton-primo.hosted.exlibrisgroup.com/primo-explore/search?tab=default_tab&amp;search_scope=EVERYTHING&amp;vid=01CRU&amp;lang=en_US&amp;offset=0&amp;query=any,contains,991004310219702656","Catalog Record")</f>
        <v/>
      </c>
      <c r="AT614">
        <f>HYPERLINK("http://www.worldcat.org/oclc/2990225","WorldCat Record")</f>
        <v/>
      </c>
      <c r="AU614" t="inlineStr">
        <is>
          <t>500685:eng</t>
        </is>
      </c>
      <c r="AV614" t="inlineStr">
        <is>
          <t>2990225</t>
        </is>
      </c>
      <c r="AW614" t="inlineStr">
        <is>
          <t>991004310219702656</t>
        </is>
      </c>
      <c r="AX614" t="inlineStr">
        <is>
          <t>991004310219702656</t>
        </is>
      </c>
      <c r="AY614" t="inlineStr">
        <is>
          <t>2258973720002656</t>
        </is>
      </c>
      <c r="AZ614" t="inlineStr">
        <is>
          <t>BOOK</t>
        </is>
      </c>
      <c r="BC614" t="inlineStr">
        <is>
          <t>32285001540250</t>
        </is>
      </c>
      <c r="BD614" t="inlineStr">
        <is>
          <t>893235319</t>
        </is>
      </c>
    </row>
    <row r="615">
      <c r="A615" t="inlineStr">
        <is>
          <t>No</t>
        </is>
      </c>
      <c r="B615" t="inlineStr">
        <is>
          <t>BF515 .C74</t>
        </is>
      </c>
      <c r="C615" t="inlineStr">
        <is>
          <t>0                      BF 0515000C  74</t>
        </is>
      </c>
      <c r="D615" t="inlineStr">
        <is>
          <t>Beyond boredom and anxiety / Mihaly Csikszentmihalyi ; with contributions by Isabella Csikszentmihalyi ... [et al.].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K615" t="inlineStr">
        <is>
          <t>Csikszentmihalyi, Mihaly.</t>
        </is>
      </c>
      <c r="L615" t="inlineStr">
        <is>
          <t>San Francisco : Jossey-Bass Publishers, 1975.</t>
        </is>
      </c>
      <c r="M615" t="inlineStr">
        <is>
          <t>1975</t>
        </is>
      </c>
      <c r="N615" t="inlineStr">
        <is>
          <t>1st ed.</t>
        </is>
      </c>
      <c r="O615" t="inlineStr">
        <is>
          <t>eng</t>
        </is>
      </c>
      <c r="P615" t="inlineStr">
        <is>
          <t>cau</t>
        </is>
      </c>
      <c r="Q615" t="inlineStr">
        <is>
          <t>The Jossey-Bass behavioral science series</t>
        </is>
      </c>
      <c r="R615" t="inlineStr">
        <is>
          <t xml:space="preserve">BF </t>
        </is>
      </c>
      <c r="S615" t="n">
        <v>8</v>
      </c>
      <c r="T615" t="n">
        <v>8</v>
      </c>
      <c r="U615" t="inlineStr">
        <is>
          <t>2004-02-19</t>
        </is>
      </c>
      <c r="V615" t="inlineStr">
        <is>
          <t>2004-02-19</t>
        </is>
      </c>
      <c r="W615" t="inlineStr">
        <is>
          <t>1993-02-26</t>
        </is>
      </c>
      <c r="X615" t="inlineStr">
        <is>
          <t>1993-02-26</t>
        </is>
      </c>
      <c r="Y615" t="n">
        <v>648</v>
      </c>
      <c r="Z615" t="n">
        <v>516</v>
      </c>
      <c r="AA615" t="n">
        <v>684</v>
      </c>
      <c r="AB615" t="n">
        <v>4</v>
      </c>
      <c r="AC615" t="n">
        <v>5</v>
      </c>
      <c r="AD615" t="n">
        <v>19</v>
      </c>
      <c r="AE615" t="n">
        <v>25</v>
      </c>
      <c r="AF615" t="n">
        <v>10</v>
      </c>
      <c r="AG615" t="n">
        <v>11</v>
      </c>
      <c r="AH615" t="n">
        <v>4</v>
      </c>
      <c r="AI615" t="n">
        <v>7</v>
      </c>
      <c r="AJ615" t="n">
        <v>9</v>
      </c>
      <c r="AK615" t="n">
        <v>12</v>
      </c>
      <c r="AL615" t="n">
        <v>2</v>
      </c>
      <c r="AM615" t="n">
        <v>3</v>
      </c>
      <c r="AN615" t="n">
        <v>0</v>
      </c>
      <c r="AO615" t="n">
        <v>0</v>
      </c>
      <c r="AP615" t="inlineStr">
        <is>
          <t>No</t>
        </is>
      </c>
      <c r="AQ615" t="inlineStr">
        <is>
          <t>Yes</t>
        </is>
      </c>
      <c r="AR615">
        <f>HYPERLINK("http://catalog.hathitrust.org/Record/000706756","HathiTrust Record")</f>
        <v/>
      </c>
      <c r="AS615">
        <f>HYPERLINK("https://creighton-primo.hosted.exlibrisgroup.com/primo-explore/search?tab=default_tab&amp;search_scope=EVERYTHING&amp;vid=01CRU&amp;lang=en_US&amp;offset=0&amp;query=any,contains,991004321209702656","Catalog Record")</f>
        <v/>
      </c>
      <c r="AT615">
        <f>HYPERLINK("http://www.worldcat.org/oclc/3017986","WorldCat Record")</f>
        <v/>
      </c>
      <c r="AU615" t="inlineStr">
        <is>
          <t>532528:eng</t>
        </is>
      </c>
      <c r="AV615" t="inlineStr">
        <is>
          <t>3017986</t>
        </is>
      </c>
      <c r="AW615" t="inlineStr">
        <is>
          <t>991004321209702656</t>
        </is>
      </c>
      <c r="AX615" t="inlineStr">
        <is>
          <t>991004321209702656</t>
        </is>
      </c>
      <c r="AY615" t="inlineStr">
        <is>
          <t>2269968700002656</t>
        </is>
      </c>
      <c r="AZ615" t="inlineStr">
        <is>
          <t>BOOK</t>
        </is>
      </c>
      <c r="BB615" t="inlineStr">
        <is>
          <t>9780875892610</t>
        </is>
      </c>
      <c r="BC615" t="inlineStr">
        <is>
          <t>32285001540243</t>
        </is>
      </c>
      <c r="BD615" t="inlineStr">
        <is>
          <t>893687603</t>
        </is>
      </c>
    </row>
    <row r="616">
      <c r="A616" t="inlineStr">
        <is>
          <t>No</t>
        </is>
      </c>
      <c r="B616" t="inlineStr">
        <is>
          <t>BF515 .P79</t>
        </is>
      </c>
      <c r="C616" t="inlineStr">
        <is>
          <t>0                      BF 0515000P  79</t>
        </is>
      </c>
      <c r="D616" t="inlineStr">
        <is>
          <t>The Psychology of pain / edited by Richard A. Sternbach.</t>
        </is>
      </c>
      <c r="F616" t="inlineStr">
        <is>
          <t>No</t>
        </is>
      </c>
      <c r="G616" t="inlineStr">
        <is>
          <t>1</t>
        </is>
      </c>
      <c r="H616" t="inlineStr">
        <is>
          <t>Yes</t>
        </is>
      </c>
      <c r="I616" t="inlineStr">
        <is>
          <t>No</t>
        </is>
      </c>
      <c r="J616" t="inlineStr">
        <is>
          <t>0</t>
        </is>
      </c>
      <c r="L616" t="inlineStr">
        <is>
          <t>New York : Raven Press, c1978.</t>
        </is>
      </c>
      <c r="M616" t="inlineStr">
        <is>
          <t>1978</t>
        </is>
      </c>
      <c r="O616" t="inlineStr">
        <is>
          <t>eng</t>
        </is>
      </c>
      <c r="P616" t="inlineStr">
        <is>
          <t>nyu</t>
        </is>
      </c>
      <c r="R616" t="inlineStr">
        <is>
          <t xml:space="preserve">BF </t>
        </is>
      </c>
      <c r="S616" t="n">
        <v>6</v>
      </c>
      <c r="T616" t="n">
        <v>18</v>
      </c>
      <c r="U616" t="inlineStr">
        <is>
          <t>1995-03-14</t>
        </is>
      </c>
      <c r="V616" t="inlineStr">
        <is>
          <t>1999-03-12</t>
        </is>
      </c>
      <c r="W616" t="inlineStr">
        <is>
          <t>1990-04-26</t>
        </is>
      </c>
      <c r="X616" t="inlineStr">
        <is>
          <t>1990-04-26</t>
        </is>
      </c>
      <c r="Y616" t="n">
        <v>487</v>
      </c>
      <c r="Z616" t="n">
        <v>358</v>
      </c>
      <c r="AA616" t="n">
        <v>501</v>
      </c>
      <c r="AB616" t="n">
        <v>4</v>
      </c>
      <c r="AC616" t="n">
        <v>4</v>
      </c>
      <c r="AD616" t="n">
        <v>22</v>
      </c>
      <c r="AE616" t="n">
        <v>27</v>
      </c>
      <c r="AF616" t="n">
        <v>10</v>
      </c>
      <c r="AG616" t="n">
        <v>12</v>
      </c>
      <c r="AH616" t="n">
        <v>6</v>
      </c>
      <c r="AI616" t="n">
        <v>6</v>
      </c>
      <c r="AJ616" t="n">
        <v>10</v>
      </c>
      <c r="AK616" t="n">
        <v>15</v>
      </c>
      <c r="AL616" t="n">
        <v>2</v>
      </c>
      <c r="AM616" t="n">
        <v>2</v>
      </c>
      <c r="AN616" t="n">
        <v>0</v>
      </c>
      <c r="AO616" t="n">
        <v>0</v>
      </c>
      <c r="AP616" t="inlineStr">
        <is>
          <t>No</t>
        </is>
      </c>
      <c r="AQ616" t="inlineStr">
        <is>
          <t>Yes</t>
        </is>
      </c>
      <c r="AR616">
        <f>HYPERLINK("http://catalog.hathitrust.org/Record/000214651","HathiTrust Record")</f>
        <v/>
      </c>
      <c r="AS616">
        <f>HYPERLINK("https://creighton-primo.hosted.exlibrisgroup.com/primo-explore/search?tab=default_tab&amp;search_scope=EVERYTHING&amp;vid=01CRU&amp;lang=en_US&amp;offset=0&amp;query=any,contains,991001791419702656","Catalog Record")</f>
        <v/>
      </c>
      <c r="AT616">
        <f>HYPERLINK("http://www.worldcat.org/oclc/4136788","WorldCat Record")</f>
        <v/>
      </c>
      <c r="AU616" t="inlineStr">
        <is>
          <t>54238559:eng</t>
        </is>
      </c>
      <c r="AV616" t="inlineStr">
        <is>
          <t>4136788</t>
        </is>
      </c>
      <c r="AW616" t="inlineStr">
        <is>
          <t>991001791419702656</t>
        </is>
      </c>
      <c r="AX616" t="inlineStr">
        <is>
          <t>991001791419702656</t>
        </is>
      </c>
      <c r="AY616" t="inlineStr">
        <is>
          <t>2258248960002656</t>
        </is>
      </c>
      <c r="AZ616" t="inlineStr">
        <is>
          <t>BOOK</t>
        </is>
      </c>
      <c r="BB616" t="inlineStr">
        <is>
          <t>9780890042786</t>
        </is>
      </c>
      <c r="BC616" t="inlineStr">
        <is>
          <t>32285000134642</t>
        </is>
      </c>
      <c r="BD616" t="inlineStr">
        <is>
          <t>893898062</t>
        </is>
      </c>
    </row>
    <row r="617">
      <c r="A617" t="inlineStr">
        <is>
          <t>No</t>
        </is>
      </c>
      <c r="B617" t="inlineStr">
        <is>
          <t>BF531 .K39</t>
        </is>
      </c>
      <c r="C617" t="inlineStr">
        <is>
          <t>0                      BF 0531000K  39</t>
        </is>
      </c>
      <c r="D617" t="inlineStr">
        <is>
          <t>A social interactional theory of emotions / Theodore D. Kemper. --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Kemper, Theodore D., 1926-</t>
        </is>
      </c>
      <c r="L617" t="inlineStr">
        <is>
          <t>New York : Wiley, c1978.</t>
        </is>
      </c>
      <c r="M617" t="inlineStr">
        <is>
          <t>1978</t>
        </is>
      </c>
      <c r="O617" t="inlineStr">
        <is>
          <t>eng</t>
        </is>
      </c>
      <c r="P617" t="inlineStr">
        <is>
          <t>nyu</t>
        </is>
      </c>
      <c r="R617" t="inlineStr">
        <is>
          <t xml:space="preserve">BF </t>
        </is>
      </c>
      <c r="S617" t="n">
        <v>6</v>
      </c>
      <c r="T617" t="n">
        <v>6</v>
      </c>
      <c r="U617" t="inlineStr">
        <is>
          <t>2007-11-12</t>
        </is>
      </c>
      <c r="V617" t="inlineStr">
        <is>
          <t>2007-11-12</t>
        </is>
      </c>
      <c r="W617" t="inlineStr">
        <is>
          <t>1993-03-31</t>
        </is>
      </c>
      <c r="X617" t="inlineStr">
        <is>
          <t>1993-03-31</t>
        </is>
      </c>
      <c r="Y617" t="n">
        <v>558</v>
      </c>
      <c r="Z617" t="n">
        <v>432</v>
      </c>
      <c r="AA617" t="n">
        <v>434</v>
      </c>
      <c r="AB617" t="n">
        <v>3</v>
      </c>
      <c r="AC617" t="n">
        <v>3</v>
      </c>
      <c r="AD617" t="n">
        <v>17</v>
      </c>
      <c r="AE617" t="n">
        <v>17</v>
      </c>
      <c r="AF617" t="n">
        <v>5</v>
      </c>
      <c r="AG617" t="n">
        <v>5</v>
      </c>
      <c r="AH617" t="n">
        <v>4</v>
      </c>
      <c r="AI617" t="n">
        <v>4</v>
      </c>
      <c r="AJ617" t="n">
        <v>8</v>
      </c>
      <c r="AK617" t="n">
        <v>8</v>
      </c>
      <c r="AL617" t="n">
        <v>2</v>
      </c>
      <c r="AM617" t="n">
        <v>2</v>
      </c>
      <c r="AN617" t="n">
        <v>0</v>
      </c>
      <c r="AO617" t="n">
        <v>0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HYPERLINK("http://catalog.hathitrust.org/Record/000136589","HathiTrust Record")</f>
        <v/>
      </c>
      <c r="AS617">
        <f>HYPERLINK("https://creighton-primo.hosted.exlibrisgroup.com/primo-explore/search?tab=default_tab&amp;search_scope=EVERYTHING&amp;vid=01CRU&amp;lang=en_US&amp;offset=0&amp;query=any,contains,991004535829702656","Catalog Record")</f>
        <v/>
      </c>
      <c r="AT617">
        <f>HYPERLINK("http://www.worldcat.org/oclc/3869712","WorldCat Record")</f>
        <v/>
      </c>
      <c r="AU617" t="inlineStr">
        <is>
          <t>12858794:eng</t>
        </is>
      </c>
      <c r="AV617" t="inlineStr">
        <is>
          <t>3869712</t>
        </is>
      </c>
      <c r="AW617" t="inlineStr">
        <is>
          <t>991004535829702656</t>
        </is>
      </c>
      <c r="AX617" t="inlineStr">
        <is>
          <t>991004535829702656</t>
        </is>
      </c>
      <c r="AY617" t="inlineStr">
        <is>
          <t>2262931880002656</t>
        </is>
      </c>
      <c r="AZ617" t="inlineStr">
        <is>
          <t>BOOK</t>
        </is>
      </c>
      <c r="BB617" t="inlineStr">
        <is>
          <t>9780471014058</t>
        </is>
      </c>
      <c r="BC617" t="inlineStr">
        <is>
          <t>32285001595940</t>
        </is>
      </c>
      <c r="BD617" t="inlineStr">
        <is>
          <t>893869831</t>
        </is>
      </c>
    </row>
    <row r="618">
      <c r="A618" t="inlineStr">
        <is>
          <t>No</t>
        </is>
      </c>
      <c r="B618" t="inlineStr">
        <is>
          <t>BF531 .L28</t>
        </is>
      </c>
      <c r="C618" t="inlineStr">
        <is>
          <t>0                      BF 0531000L  28</t>
        </is>
      </c>
      <c r="D618" t="inlineStr">
        <is>
          <t>The voice of experience / R.D. Laing.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Laing, R. D. (Ronald David), 1927-1989.</t>
        </is>
      </c>
      <c r="L618" t="inlineStr">
        <is>
          <t>New York : Pantheon Books, c1982.</t>
        </is>
      </c>
      <c r="M618" t="inlineStr">
        <is>
          <t>1982</t>
        </is>
      </c>
      <c r="O618" t="inlineStr">
        <is>
          <t>eng</t>
        </is>
      </c>
      <c r="P618" t="inlineStr">
        <is>
          <t>nyu</t>
        </is>
      </c>
      <c r="R618" t="inlineStr">
        <is>
          <t xml:space="preserve">BF </t>
        </is>
      </c>
      <c r="S618" t="n">
        <v>3</v>
      </c>
      <c r="T618" t="n">
        <v>3</v>
      </c>
      <c r="U618" t="inlineStr">
        <is>
          <t>1994-01-20</t>
        </is>
      </c>
      <c r="V618" t="inlineStr">
        <is>
          <t>1994-01-20</t>
        </is>
      </c>
      <c r="W618" t="inlineStr">
        <is>
          <t>1993-02-26</t>
        </is>
      </c>
      <c r="X618" t="inlineStr">
        <is>
          <t>1993-02-26</t>
        </is>
      </c>
      <c r="Y618" t="n">
        <v>693</v>
      </c>
      <c r="Z618" t="n">
        <v>630</v>
      </c>
      <c r="AA618" t="n">
        <v>669</v>
      </c>
      <c r="AB618" t="n">
        <v>2</v>
      </c>
      <c r="AC618" t="n">
        <v>2</v>
      </c>
      <c r="AD618" t="n">
        <v>23</v>
      </c>
      <c r="AE618" t="n">
        <v>23</v>
      </c>
      <c r="AF618" t="n">
        <v>10</v>
      </c>
      <c r="AG618" t="n">
        <v>10</v>
      </c>
      <c r="AH618" t="n">
        <v>6</v>
      </c>
      <c r="AI618" t="n">
        <v>6</v>
      </c>
      <c r="AJ618" t="n">
        <v>15</v>
      </c>
      <c r="AK618" t="n">
        <v>15</v>
      </c>
      <c r="AL618" t="n">
        <v>0</v>
      </c>
      <c r="AM618" t="n">
        <v>0</v>
      </c>
      <c r="AN618" t="n">
        <v>1</v>
      </c>
      <c r="AO618" t="n">
        <v>1</v>
      </c>
      <c r="AP618" t="inlineStr">
        <is>
          <t>No</t>
        </is>
      </c>
      <c r="AQ618" t="inlineStr">
        <is>
          <t>Yes</t>
        </is>
      </c>
      <c r="AR618">
        <f>HYPERLINK("http://catalog.hathitrust.org/Record/000147881","HathiTrust Record")</f>
        <v/>
      </c>
      <c r="AS618">
        <f>HYPERLINK("https://creighton-primo.hosted.exlibrisgroup.com/primo-explore/search?tab=default_tab&amp;search_scope=EVERYTHING&amp;vid=01CRU&amp;lang=en_US&amp;offset=0&amp;query=any,contains,991005203289702656","Catalog Record")</f>
        <v/>
      </c>
      <c r="AT618">
        <f>HYPERLINK("http://www.worldcat.org/oclc/8109631","WorldCat Record")</f>
        <v/>
      </c>
      <c r="AU618" t="inlineStr">
        <is>
          <t>116826664:eng</t>
        </is>
      </c>
      <c r="AV618" t="inlineStr">
        <is>
          <t>8109631</t>
        </is>
      </c>
      <c r="AW618" t="inlineStr">
        <is>
          <t>991005203289702656</t>
        </is>
      </c>
      <c r="AX618" t="inlineStr">
        <is>
          <t>991005203289702656</t>
        </is>
      </c>
      <c r="AY618" t="inlineStr">
        <is>
          <t>2261454950002656</t>
        </is>
      </c>
      <c r="AZ618" t="inlineStr">
        <is>
          <t>BOOK</t>
        </is>
      </c>
      <c r="BB618" t="inlineStr">
        <is>
          <t>9780394515526</t>
        </is>
      </c>
      <c r="BC618" t="inlineStr">
        <is>
          <t>32285001540219</t>
        </is>
      </c>
      <c r="BD618" t="inlineStr">
        <is>
          <t>893883499</t>
        </is>
      </c>
    </row>
    <row r="619">
      <c r="A619" t="inlineStr">
        <is>
          <t>No</t>
        </is>
      </c>
      <c r="B619" t="inlineStr">
        <is>
          <t>BF531 .O75 1988</t>
        </is>
      </c>
      <c r="C619" t="inlineStr">
        <is>
          <t>0                      BF 0531000O  75          1988</t>
        </is>
      </c>
      <c r="D619" t="inlineStr">
        <is>
          <t>The cognitive structure of emotions / Andrew Ortony, Gerald L. Clore, Allan Collins.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Ortony, Andrew, 1942-</t>
        </is>
      </c>
      <c r="L619" t="inlineStr">
        <is>
          <t>Cambridge [England] ; New York : Cambridge University Press, 1988.</t>
        </is>
      </c>
      <c r="M619" t="inlineStr">
        <is>
          <t>1988</t>
        </is>
      </c>
      <c r="O619" t="inlineStr">
        <is>
          <t>eng</t>
        </is>
      </c>
      <c r="P619" t="inlineStr">
        <is>
          <t>enk</t>
        </is>
      </c>
      <c r="R619" t="inlineStr">
        <is>
          <t xml:space="preserve">BF </t>
        </is>
      </c>
      <c r="S619" t="n">
        <v>4</v>
      </c>
      <c r="T619" t="n">
        <v>4</v>
      </c>
      <c r="U619" t="inlineStr">
        <is>
          <t>1995-10-20</t>
        </is>
      </c>
      <c r="V619" t="inlineStr">
        <is>
          <t>1995-10-20</t>
        </is>
      </c>
      <c r="W619" t="inlineStr">
        <is>
          <t>1992-06-10</t>
        </is>
      </c>
      <c r="X619" t="inlineStr">
        <is>
          <t>1992-06-10</t>
        </is>
      </c>
      <c r="Y619" t="n">
        <v>693</v>
      </c>
      <c r="Z619" t="n">
        <v>520</v>
      </c>
      <c r="AA619" t="n">
        <v>560</v>
      </c>
      <c r="AB619" t="n">
        <v>4</v>
      </c>
      <c r="AC619" t="n">
        <v>4</v>
      </c>
      <c r="AD619" t="n">
        <v>26</v>
      </c>
      <c r="AE619" t="n">
        <v>28</v>
      </c>
      <c r="AF619" t="n">
        <v>10</v>
      </c>
      <c r="AG619" t="n">
        <v>11</v>
      </c>
      <c r="AH619" t="n">
        <v>6</v>
      </c>
      <c r="AI619" t="n">
        <v>7</v>
      </c>
      <c r="AJ619" t="n">
        <v>14</v>
      </c>
      <c r="AK619" t="n">
        <v>16</v>
      </c>
      <c r="AL619" t="n">
        <v>3</v>
      </c>
      <c r="AM619" t="n">
        <v>3</v>
      </c>
      <c r="AN619" t="n">
        <v>0</v>
      </c>
      <c r="AO619" t="n">
        <v>0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HYPERLINK("https://creighton-primo.hosted.exlibrisgroup.com/primo-explore/search?tab=default_tab&amp;search_scope=EVERYTHING&amp;vid=01CRU&amp;lang=en_US&amp;offset=0&amp;query=any,contains,991001179239702656","Catalog Record")</f>
        <v/>
      </c>
      <c r="AT619">
        <f>HYPERLINK("http://www.worldcat.org/oclc/17106202","WorldCat Record")</f>
        <v/>
      </c>
      <c r="AU619" t="inlineStr">
        <is>
          <t>13187971:eng</t>
        </is>
      </c>
      <c r="AV619" t="inlineStr">
        <is>
          <t>17106202</t>
        </is>
      </c>
      <c r="AW619" t="inlineStr">
        <is>
          <t>991001179239702656</t>
        </is>
      </c>
      <c r="AX619" t="inlineStr">
        <is>
          <t>991001179239702656</t>
        </is>
      </c>
      <c r="AY619" t="inlineStr">
        <is>
          <t>2270563520002656</t>
        </is>
      </c>
      <c r="AZ619" t="inlineStr">
        <is>
          <t>BOOK</t>
        </is>
      </c>
      <c r="BB619" t="inlineStr">
        <is>
          <t>9780521353649</t>
        </is>
      </c>
      <c r="BC619" t="inlineStr">
        <is>
          <t>32285001128064</t>
        </is>
      </c>
      <c r="BD619" t="inlineStr">
        <is>
          <t>893621130</t>
        </is>
      </c>
    </row>
    <row r="620">
      <c r="A620" t="inlineStr">
        <is>
          <t>No</t>
        </is>
      </c>
      <c r="B620" t="inlineStr">
        <is>
          <t>BF531 .P59</t>
        </is>
      </c>
      <c r="C620" t="inlineStr">
        <is>
          <t>0                      BF 0531000P  59</t>
        </is>
      </c>
      <c r="D620" t="inlineStr">
        <is>
          <t>Emotion, a psychoevolutionary synthesis / Robert Plutchik.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Plutchik, Robert.</t>
        </is>
      </c>
      <c r="L620" t="inlineStr">
        <is>
          <t>New York : Harper &amp; Row, c1980.</t>
        </is>
      </c>
      <c r="M620" t="inlineStr">
        <is>
          <t>1980</t>
        </is>
      </c>
      <c r="O620" t="inlineStr">
        <is>
          <t>eng</t>
        </is>
      </c>
      <c r="P620" t="inlineStr">
        <is>
          <t>nyu</t>
        </is>
      </c>
      <c r="R620" t="inlineStr">
        <is>
          <t xml:space="preserve">BF </t>
        </is>
      </c>
      <c r="S620" t="n">
        <v>4</v>
      </c>
      <c r="T620" t="n">
        <v>4</v>
      </c>
      <c r="U620" t="inlineStr">
        <is>
          <t>2002-11-11</t>
        </is>
      </c>
      <c r="V620" t="inlineStr">
        <is>
          <t>2002-11-11</t>
        </is>
      </c>
      <c r="W620" t="inlineStr">
        <is>
          <t>1993-03-31</t>
        </is>
      </c>
      <c r="X620" t="inlineStr">
        <is>
          <t>1993-03-31</t>
        </is>
      </c>
      <c r="Y620" t="n">
        <v>417</v>
      </c>
      <c r="Z620" t="n">
        <v>296</v>
      </c>
      <c r="AA620" t="n">
        <v>297</v>
      </c>
      <c r="AB620" t="n">
        <v>1</v>
      </c>
      <c r="AC620" t="n">
        <v>1</v>
      </c>
      <c r="AD620" t="n">
        <v>14</v>
      </c>
      <c r="AE620" t="n">
        <v>14</v>
      </c>
      <c r="AF620" t="n">
        <v>6</v>
      </c>
      <c r="AG620" t="n">
        <v>6</v>
      </c>
      <c r="AH620" t="n">
        <v>3</v>
      </c>
      <c r="AI620" t="n">
        <v>3</v>
      </c>
      <c r="AJ620" t="n">
        <v>9</v>
      </c>
      <c r="AK620" t="n">
        <v>9</v>
      </c>
      <c r="AL620" t="n">
        <v>0</v>
      </c>
      <c r="AM620" t="n">
        <v>0</v>
      </c>
      <c r="AN620" t="n">
        <v>0</v>
      </c>
      <c r="AO620" t="n">
        <v>0</v>
      </c>
      <c r="AP620" t="inlineStr">
        <is>
          <t>No</t>
        </is>
      </c>
      <c r="AQ620" t="inlineStr">
        <is>
          <t>Yes</t>
        </is>
      </c>
      <c r="AR620">
        <f>HYPERLINK("http://catalog.hathitrust.org/Record/000756537","HathiTrust Record")</f>
        <v/>
      </c>
      <c r="AS620">
        <f>HYPERLINK("https://creighton-primo.hosted.exlibrisgroup.com/primo-explore/search?tab=default_tab&amp;search_scope=EVERYTHING&amp;vid=01CRU&amp;lang=en_US&amp;offset=0&amp;query=any,contains,991004815799702656","Catalog Record")</f>
        <v/>
      </c>
      <c r="AT620">
        <f>HYPERLINK("http://www.worldcat.org/oclc/5310120","WorldCat Record")</f>
        <v/>
      </c>
      <c r="AU620" t="inlineStr">
        <is>
          <t>403631:eng</t>
        </is>
      </c>
      <c r="AV620" t="inlineStr">
        <is>
          <t>5310120</t>
        </is>
      </c>
      <c r="AW620" t="inlineStr">
        <is>
          <t>991004815799702656</t>
        </is>
      </c>
      <c r="AX620" t="inlineStr">
        <is>
          <t>991004815799702656</t>
        </is>
      </c>
      <c r="AY620" t="inlineStr">
        <is>
          <t>2264388820002656</t>
        </is>
      </c>
      <c r="AZ620" t="inlineStr">
        <is>
          <t>BOOK</t>
        </is>
      </c>
      <c r="BB620" t="inlineStr">
        <is>
          <t>9780060452353</t>
        </is>
      </c>
      <c r="BC620" t="inlineStr">
        <is>
          <t>32285001595957</t>
        </is>
      </c>
      <c r="BD620" t="inlineStr">
        <is>
          <t>893795303</t>
        </is>
      </c>
    </row>
    <row r="621">
      <c r="A621" t="inlineStr">
        <is>
          <t>No</t>
        </is>
      </c>
      <c r="B621" t="inlineStr">
        <is>
          <t>BF531 .R3 1961</t>
        </is>
      </c>
      <c r="C621" t="inlineStr">
        <is>
          <t>0                      BF 0531000R  3           1961</t>
        </is>
      </c>
      <c r="D621" t="inlineStr">
        <is>
          <t>Emotions and memory / by David Rapaport.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Rapaport, David.</t>
        </is>
      </c>
      <c r="L621" t="inlineStr">
        <is>
          <t>New York : Science Editions, 1961.</t>
        </is>
      </c>
      <c r="M621" t="inlineStr">
        <is>
          <t>1961</t>
        </is>
      </c>
      <c r="N621" t="inlineStr">
        <is>
          <t>2d unaltered ed.</t>
        </is>
      </c>
      <c r="O621" t="inlineStr">
        <is>
          <t>eng</t>
        </is>
      </c>
      <c r="P621" t="inlineStr">
        <is>
          <t>nyu</t>
        </is>
      </c>
      <c r="Q621" t="inlineStr">
        <is>
          <t>The Menninger Clinic monograph series, no. 2</t>
        </is>
      </c>
      <c r="R621" t="inlineStr">
        <is>
          <t xml:space="preserve">BF </t>
        </is>
      </c>
      <c r="S621" t="n">
        <v>1</v>
      </c>
      <c r="T621" t="n">
        <v>1</v>
      </c>
      <c r="U621" t="inlineStr">
        <is>
          <t>2002-03-02</t>
        </is>
      </c>
      <c r="V621" t="inlineStr">
        <is>
          <t>2002-03-02</t>
        </is>
      </c>
      <c r="W621" t="inlineStr">
        <is>
          <t>1997-09-24</t>
        </is>
      </c>
      <c r="X621" t="inlineStr">
        <is>
          <t>1997-09-24</t>
        </is>
      </c>
      <c r="Y621" t="n">
        <v>126</v>
      </c>
      <c r="Z621" t="n">
        <v>94</v>
      </c>
      <c r="AA621" t="n">
        <v>844</v>
      </c>
      <c r="AB621" t="n">
        <v>1</v>
      </c>
      <c r="AC621" t="n">
        <v>3</v>
      </c>
      <c r="AD621" t="n">
        <v>3</v>
      </c>
      <c r="AE621" t="n">
        <v>30</v>
      </c>
      <c r="AF621" t="n">
        <v>2</v>
      </c>
      <c r="AG621" t="n">
        <v>15</v>
      </c>
      <c r="AH621" t="n">
        <v>0</v>
      </c>
      <c r="AI621" t="n">
        <v>5</v>
      </c>
      <c r="AJ621" t="n">
        <v>3</v>
      </c>
      <c r="AK621" t="n">
        <v>17</v>
      </c>
      <c r="AL621" t="n">
        <v>0</v>
      </c>
      <c r="AM621" t="n">
        <v>2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HYPERLINK("http://catalog.hathitrust.org/Record/009904992","HathiTrust Record")</f>
        <v/>
      </c>
      <c r="AS621">
        <f>HYPERLINK("https://creighton-primo.hosted.exlibrisgroup.com/primo-explore/search?tab=default_tab&amp;search_scope=EVERYTHING&amp;vid=01CRU&amp;lang=en_US&amp;offset=0&amp;query=any,contains,991004881679702656","Catalog Record")</f>
        <v/>
      </c>
      <c r="AT621">
        <f>HYPERLINK("http://www.worldcat.org/oclc/5822214","WorldCat Record")</f>
        <v/>
      </c>
      <c r="AU621" t="inlineStr">
        <is>
          <t>489238:eng</t>
        </is>
      </c>
      <c r="AV621" t="inlineStr">
        <is>
          <t>5822214</t>
        </is>
      </c>
      <c r="AW621" t="inlineStr">
        <is>
          <t>991004881679702656</t>
        </is>
      </c>
      <c r="AX621" t="inlineStr">
        <is>
          <t>991004881679702656</t>
        </is>
      </c>
      <c r="AY621" t="inlineStr">
        <is>
          <t>2268628750002656</t>
        </is>
      </c>
      <c r="AZ621" t="inlineStr">
        <is>
          <t>BOOK</t>
        </is>
      </c>
      <c r="BC621" t="inlineStr">
        <is>
          <t>32285003250411</t>
        </is>
      </c>
      <c r="BD621" t="inlineStr">
        <is>
          <t>893612872</t>
        </is>
      </c>
    </row>
    <row r="622">
      <c r="A622" t="inlineStr">
        <is>
          <t>No</t>
        </is>
      </c>
      <c r="B622" t="inlineStr">
        <is>
          <t>BF531 .S314</t>
        </is>
      </c>
      <c r="C622" t="inlineStr">
        <is>
          <t>0                      BF 0531000S  314</t>
        </is>
      </c>
      <c r="D622" t="inlineStr">
        <is>
          <t>The emotions : outline of a theory / tr. from the French by Bernard Frechtman.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Sartre, Jean-Paul, 1905-1980.</t>
        </is>
      </c>
      <c r="L622" t="inlineStr">
        <is>
          <t>New York : Philosophical Library, [1948]</t>
        </is>
      </c>
      <c r="M622" t="inlineStr">
        <is>
          <t>1948</t>
        </is>
      </c>
      <c r="O622" t="inlineStr">
        <is>
          <t>eng</t>
        </is>
      </c>
      <c r="P622" t="inlineStr">
        <is>
          <t>nyu</t>
        </is>
      </c>
      <c r="R622" t="inlineStr">
        <is>
          <t xml:space="preserve">BF </t>
        </is>
      </c>
      <c r="S622" t="n">
        <v>1</v>
      </c>
      <c r="T622" t="n">
        <v>1</v>
      </c>
      <c r="U622" t="inlineStr">
        <is>
          <t>2005-12-01</t>
        </is>
      </c>
      <c r="V622" t="inlineStr">
        <is>
          <t>2005-12-01</t>
        </is>
      </c>
      <c r="W622" t="inlineStr">
        <is>
          <t>1992-01-28</t>
        </is>
      </c>
      <c r="X622" t="inlineStr">
        <is>
          <t>1992-01-28</t>
        </is>
      </c>
      <c r="Y622" t="n">
        <v>644</v>
      </c>
      <c r="Z622" t="n">
        <v>580</v>
      </c>
      <c r="AA622" t="n">
        <v>1050</v>
      </c>
      <c r="AB622" t="n">
        <v>6</v>
      </c>
      <c r="AC622" t="n">
        <v>6</v>
      </c>
      <c r="AD622" t="n">
        <v>26</v>
      </c>
      <c r="AE622" t="n">
        <v>42</v>
      </c>
      <c r="AF622" t="n">
        <v>11</v>
      </c>
      <c r="AG622" t="n">
        <v>18</v>
      </c>
      <c r="AH622" t="n">
        <v>7</v>
      </c>
      <c r="AI622" t="n">
        <v>10</v>
      </c>
      <c r="AJ622" t="n">
        <v>12</v>
      </c>
      <c r="AK622" t="n">
        <v>21</v>
      </c>
      <c r="AL622" t="n">
        <v>4</v>
      </c>
      <c r="AM622" t="n">
        <v>4</v>
      </c>
      <c r="AN622" t="n">
        <v>0</v>
      </c>
      <c r="AO622" t="n">
        <v>1</v>
      </c>
      <c r="AP622" t="inlineStr">
        <is>
          <t>No</t>
        </is>
      </c>
      <c r="AQ622" t="inlineStr">
        <is>
          <t>Yes</t>
        </is>
      </c>
      <c r="AR622">
        <f>HYPERLINK("http://catalog.hathitrust.org/Record/000471991","HathiTrust Record")</f>
        <v/>
      </c>
      <c r="AS622">
        <f>HYPERLINK("https://creighton-primo.hosted.exlibrisgroup.com/primo-explore/search?tab=default_tab&amp;search_scope=EVERYTHING&amp;vid=01CRU&amp;lang=en_US&amp;offset=0&amp;query=any,contains,991002235649702656","Catalog Record")</f>
        <v/>
      </c>
      <c r="AT622">
        <f>HYPERLINK("http://www.worldcat.org/oclc/295811","WorldCat Record")</f>
        <v/>
      </c>
      <c r="AU622" t="inlineStr">
        <is>
          <t>48531216:eng</t>
        </is>
      </c>
      <c r="AV622" t="inlineStr">
        <is>
          <t>295811</t>
        </is>
      </c>
      <c r="AW622" t="inlineStr">
        <is>
          <t>991002235649702656</t>
        </is>
      </c>
      <c r="AX622" t="inlineStr">
        <is>
          <t>991002235649702656</t>
        </is>
      </c>
      <c r="AY622" t="inlineStr">
        <is>
          <t>2265675850002656</t>
        </is>
      </c>
      <c r="AZ622" t="inlineStr">
        <is>
          <t>BOOK</t>
        </is>
      </c>
      <c r="BC622" t="inlineStr">
        <is>
          <t>32285000919083</t>
        </is>
      </c>
      <c r="BD622" t="inlineStr">
        <is>
          <t>893597184</t>
        </is>
      </c>
    </row>
    <row r="623">
      <c r="A623" t="inlineStr">
        <is>
          <t>No</t>
        </is>
      </c>
      <c r="B623" t="inlineStr">
        <is>
          <t>BF531 .S54</t>
        </is>
      </c>
      <c r="C623" t="inlineStr">
        <is>
          <t>0                      BF 0531000S  54</t>
        </is>
      </c>
      <c r="D623" t="inlineStr">
        <is>
          <t>Emotion : the method of philosophical therapy / Warren Shibles.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Shibles, Warren A.</t>
        </is>
      </c>
      <c r="L623" t="inlineStr">
        <is>
          <t>Whitewater, Wis. : Language Press, [1974]</t>
        </is>
      </c>
      <c r="M623" t="inlineStr">
        <is>
          <t>1974</t>
        </is>
      </c>
      <c r="O623" t="inlineStr">
        <is>
          <t>eng</t>
        </is>
      </c>
      <c r="P623" t="inlineStr">
        <is>
          <t>wiu</t>
        </is>
      </c>
      <c r="R623" t="inlineStr">
        <is>
          <t xml:space="preserve">BF </t>
        </is>
      </c>
      <c r="S623" t="n">
        <v>3</v>
      </c>
      <c r="T623" t="n">
        <v>3</v>
      </c>
      <c r="U623" t="inlineStr">
        <is>
          <t>1998-12-04</t>
        </is>
      </c>
      <c r="V623" t="inlineStr">
        <is>
          <t>1998-12-04</t>
        </is>
      </c>
      <c r="W623" t="inlineStr">
        <is>
          <t>1993-02-26</t>
        </is>
      </c>
      <c r="X623" t="inlineStr">
        <is>
          <t>1993-02-26</t>
        </is>
      </c>
      <c r="Y623" t="n">
        <v>374</v>
      </c>
      <c r="Z623" t="n">
        <v>287</v>
      </c>
      <c r="AA623" t="n">
        <v>289</v>
      </c>
      <c r="AB623" t="n">
        <v>6</v>
      </c>
      <c r="AC623" t="n">
        <v>6</v>
      </c>
      <c r="AD623" t="n">
        <v>16</v>
      </c>
      <c r="AE623" t="n">
        <v>16</v>
      </c>
      <c r="AF623" t="n">
        <v>5</v>
      </c>
      <c r="AG623" t="n">
        <v>5</v>
      </c>
      <c r="AH623" t="n">
        <v>2</v>
      </c>
      <c r="AI623" t="n">
        <v>2</v>
      </c>
      <c r="AJ623" t="n">
        <v>7</v>
      </c>
      <c r="AK623" t="n">
        <v>7</v>
      </c>
      <c r="AL623" t="n">
        <v>5</v>
      </c>
      <c r="AM623" t="n">
        <v>5</v>
      </c>
      <c r="AN623" t="n">
        <v>0</v>
      </c>
      <c r="AO623" t="n">
        <v>0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HYPERLINK("http://catalog.hathitrust.org/Record/000027981","HathiTrust Record")</f>
        <v/>
      </c>
      <c r="AS623">
        <f>HYPERLINK("https://creighton-primo.hosted.exlibrisgroup.com/primo-explore/search?tab=default_tab&amp;search_scope=EVERYTHING&amp;vid=01CRU&amp;lang=en_US&amp;offset=0&amp;query=any,contains,991003525039702656","Catalog Record")</f>
        <v/>
      </c>
      <c r="AT623">
        <f>HYPERLINK("http://www.worldcat.org/oclc/1087087","WorldCat Record")</f>
        <v/>
      </c>
      <c r="AU623" t="inlineStr">
        <is>
          <t>3372180274:eng</t>
        </is>
      </c>
      <c r="AV623" t="inlineStr">
        <is>
          <t>1087087</t>
        </is>
      </c>
      <c r="AW623" t="inlineStr">
        <is>
          <t>991003525039702656</t>
        </is>
      </c>
      <c r="AX623" t="inlineStr">
        <is>
          <t>991003525039702656</t>
        </is>
      </c>
      <c r="AY623" t="inlineStr">
        <is>
          <t>2266999130002656</t>
        </is>
      </c>
      <c r="AZ623" t="inlineStr">
        <is>
          <t>BOOK</t>
        </is>
      </c>
      <c r="BB623" t="inlineStr">
        <is>
          <t>9780912386072</t>
        </is>
      </c>
      <c r="BC623" t="inlineStr">
        <is>
          <t>32285001540193</t>
        </is>
      </c>
      <c r="BD623" t="inlineStr">
        <is>
          <t>893868520</t>
        </is>
      </c>
    </row>
    <row r="624">
      <c r="A624" t="inlineStr">
        <is>
          <t>No</t>
        </is>
      </c>
      <c r="B624" t="inlineStr">
        <is>
          <t>BF561 .G39 1979</t>
        </is>
      </c>
      <c r="C624" t="inlineStr">
        <is>
          <t>0                      BF 0561000G  39          1979</t>
        </is>
      </c>
      <c r="D624" t="inlineStr">
        <is>
          <t>Feelings : our vital signs / Willard Gaylin.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K624" t="inlineStr">
        <is>
          <t>Gaylin, Willard.</t>
        </is>
      </c>
      <c r="L624" t="inlineStr">
        <is>
          <t>New York : Harper &amp; Row, c1979.</t>
        </is>
      </c>
      <c r="M624" t="inlineStr">
        <is>
          <t>1979</t>
        </is>
      </c>
      <c r="N624" t="inlineStr">
        <is>
          <t>1st ed.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BF </t>
        </is>
      </c>
      <c r="S624" t="n">
        <v>3</v>
      </c>
      <c r="T624" t="n">
        <v>3</v>
      </c>
      <c r="U624" t="inlineStr">
        <is>
          <t>1995-10-30</t>
        </is>
      </c>
      <c r="V624" t="inlineStr">
        <is>
          <t>1995-10-30</t>
        </is>
      </c>
      <c r="W624" t="inlineStr">
        <is>
          <t>1990-07-03</t>
        </is>
      </c>
      <c r="X624" t="inlineStr">
        <is>
          <t>1990-07-03</t>
        </is>
      </c>
      <c r="Y624" t="n">
        <v>985</v>
      </c>
      <c r="Z624" t="n">
        <v>931</v>
      </c>
      <c r="AA624" t="n">
        <v>1091</v>
      </c>
      <c r="AB624" t="n">
        <v>2</v>
      </c>
      <c r="AC624" t="n">
        <v>3</v>
      </c>
      <c r="AD624" t="n">
        <v>21</v>
      </c>
      <c r="AE624" t="n">
        <v>22</v>
      </c>
      <c r="AF624" t="n">
        <v>8</v>
      </c>
      <c r="AG624" t="n">
        <v>8</v>
      </c>
      <c r="AH624" t="n">
        <v>4</v>
      </c>
      <c r="AI624" t="n">
        <v>4</v>
      </c>
      <c r="AJ624" t="n">
        <v>14</v>
      </c>
      <c r="AK624" t="n">
        <v>15</v>
      </c>
      <c r="AL624" t="n">
        <v>1</v>
      </c>
      <c r="AM624" t="n">
        <v>1</v>
      </c>
      <c r="AN624" t="n">
        <v>0</v>
      </c>
      <c r="AO624" t="n">
        <v>0</v>
      </c>
      <c r="AP624" t="inlineStr">
        <is>
          <t>No</t>
        </is>
      </c>
      <c r="AQ624" t="inlineStr">
        <is>
          <t>Yes</t>
        </is>
      </c>
      <c r="AR624">
        <f>HYPERLINK("http://catalog.hathitrust.org/Record/000178961","HathiTrust Record")</f>
        <v/>
      </c>
      <c r="AS624">
        <f>HYPERLINK("https://creighton-primo.hosted.exlibrisgroup.com/primo-explore/search?tab=default_tab&amp;search_scope=EVERYTHING&amp;vid=01CRU&amp;lang=en_US&amp;offset=0&amp;query=any,contains,991004584329702656","Catalog Record")</f>
        <v/>
      </c>
      <c r="AT624">
        <f>HYPERLINK("http://www.worldcat.org/oclc/4076853","WorldCat Record")</f>
        <v/>
      </c>
      <c r="AU624" t="inlineStr">
        <is>
          <t>14158535:eng</t>
        </is>
      </c>
      <c r="AV624" t="inlineStr">
        <is>
          <t>4076853</t>
        </is>
      </c>
      <c r="AW624" t="inlineStr">
        <is>
          <t>991004584329702656</t>
        </is>
      </c>
      <c r="AX624" t="inlineStr">
        <is>
          <t>991004584329702656</t>
        </is>
      </c>
      <c r="AY624" t="inlineStr">
        <is>
          <t>2263028360002656</t>
        </is>
      </c>
      <c r="AZ624" t="inlineStr">
        <is>
          <t>BOOK</t>
        </is>
      </c>
      <c r="BB624" t="inlineStr">
        <is>
          <t>9780060114596</t>
        </is>
      </c>
      <c r="BC624" t="inlineStr">
        <is>
          <t>32285000219757</t>
        </is>
      </c>
      <c r="BD624" t="inlineStr">
        <is>
          <t>893411714</t>
        </is>
      </c>
    </row>
    <row r="625">
      <c r="A625" t="inlineStr">
        <is>
          <t>No</t>
        </is>
      </c>
      <c r="B625" t="inlineStr">
        <is>
          <t>BF561 .H68</t>
        </is>
      </c>
      <c r="C625" t="inlineStr">
        <is>
          <t>0                      BF 0561000H  68</t>
        </is>
      </c>
      <c r="D625" t="inlineStr">
        <is>
          <t>How do you feel? : a guide to your emotions / [by] John Wood.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L625" t="inlineStr">
        <is>
          <t>Englewood Cliffs, N.J. : Prentice-Hall, [1974]</t>
        </is>
      </c>
      <c r="M625" t="inlineStr">
        <is>
          <t>1974</t>
        </is>
      </c>
      <c r="O625" t="inlineStr">
        <is>
          <t>eng</t>
        </is>
      </c>
      <c r="P625" t="inlineStr">
        <is>
          <t>nju</t>
        </is>
      </c>
      <c r="Q625" t="inlineStr">
        <is>
          <t>A Spectrum book</t>
        </is>
      </c>
      <c r="R625" t="inlineStr">
        <is>
          <t xml:space="preserve">BF </t>
        </is>
      </c>
      <c r="S625" t="n">
        <v>12</v>
      </c>
      <c r="T625" t="n">
        <v>12</v>
      </c>
      <c r="U625" t="inlineStr">
        <is>
          <t>2002-12-18</t>
        </is>
      </c>
      <c r="V625" t="inlineStr">
        <is>
          <t>2002-12-18</t>
        </is>
      </c>
      <c r="W625" t="inlineStr">
        <is>
          <t>1991-09-17</t>
        </is>
      </c>
      <c r="X625" t="inlineStr">
        <is>
          <t>1991-09-17</t>
        </is>
      </c>
      <c r="Y625" t="n">
        <v>341</v>
      </c>
      <c r="Z625" t="n">
        <v>298</v>
      </c>
      <c r="AA625" t="n">
        <v>303</v>
      </c>
      <c r="AB625" t="n">
        <v>3</v>
      </c>
      <c r="AC625" t="n">
        <v>3</v>
      </c>
      <c r="AD625" t="n">
        <v>8</v>
      </c>
      <c r="AE625" t="n">
        <v>8</v>
      </c>
      <c r="AF625" t="n">
        <v>2</v>
      </c>
      <c r="AG625" t="n">
        <v>2</v>
      </c>
      <c r="AH625" t="n">
        <v>1</v>
      </c>
      <c r="AI625" t="n">
        <v>1</v>
      </c>
      <c r="AJ625" t="n">
        <v>3</v>
      </c>
      <c r="AK625" t="n">
        <v>3</v>
      </c>
      <c r="AL625" t="n">
        <v>2</v>
      </c>
      <c r="AM625" t="n">
        <v>2</v>
      </c>
      <c r="AN625" t="n">
        <v>0</v>
      </c>
      <c r="AO625" t="n">
        <v>0</v>
      </c>
      <c r="AP625" t="inlineStr">
        <is>
          <t>No</t>
        </is>
      </c>
      <c r="AQ625" t="inlineStr">
        <is>
          <t>No</t>
        </is>
      </c>
      <c r="AS625">
        <f>HYPERLINK("https://creighton-primo.hosted.exlibrisgroup.com/primo-explore/search?tab=default_tab&amp;search_scope=EVERYTHING&amp;vid=01CRU&amp;lang=en_US&amp;offset=0&amp;query=any,contains,991003275229702656","Catalog Record")</f>
        <v/>
      </c>
      <c r="AT625">
        <f>HYPERLINK("http://www.worldcat.org/oclc/799624","WorldCat Record")</f>
        <v/>
      </c>
      <c r="AU625" t="inlineStr">
        <is>
          <t>326920918:eng</t>
        </is>
      </c>
      <c r="AV625" t="inlineStr">
        <is>
          <t>799624</t>
        </is>
      </c>
      <c r="AW625" t="inlineStr">
        <is>
          <t>991003275229702656</t>
        </is>
      </c>
      <c r="AX625" t="inlineStr">
        <is>
          <t>991003275229702656</t>
        </is>
      </c>
      <c r="AY625" t="inlineStr">
        <is>
          <t>2266921670002656</t>
        </is>
      </c>
      <c r="AZ625" t="inlineStr">
        <is>
          <t>BOOK</t>
        </is>
      </c>
      <c r="BB625" t="inlineStr">
        <is>
          <t>9780133966305</t>
        </is>
      </c>
      <c r="BC625" t="inlineStr">
        <is>
          <t>32285000756527</t>
        </is>
      </c>
      <c r="BD625" t="inlineStr">
        <is>
          <t>893805605</t>
        </is>
      </c>
    </row>
    <row r="626">
      <c r="A626" t="inlineStr">
        <is>
          <t>No</t>
        </is>
      </c>
      <c r="B626" t="inlineStr">
        <is>
          <t>BF561 .J3</t>
        </is>
      </c>
      <c r="C626" t="inlineStr">
        <is>
          <t>0                      BF 0561000J  3</t>
        </is>
      </c>
      <c r="D626" t="inlineStr">
        <is>
          <t>Biology of emotions : new understanding derived from biological multidisciplinary investigation ; first electrophysiological measurements.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Jacobson, Edmund, 1888-1983.</t>
        </is>
      </c>
      <c r="L626" t="inlineStr">
        <is>
          <t>Springfield, Ill. : Thomas, [1967]</t>
        </is>
      </c>
      <c r="M626" t="inlineStr">
        <is>
          <t>1967</t>
        </is>
      </c>
      <c r="O626" t="inlineStr">
        <is>
          <t>eng</t>
        </is>
      </c>
      <c r="P626" t="inlineStr">
        <is>
          <t>ilu</t>
        </is>
      </c>
      <c r="R626" t="inlineStr">
        <is>
          <t xml:space="preserve">BF </t>
        </is>
      </c>
      <c r="S626" t="n">
        <v>2</v>
      </c>
      <c r="T626" t="n">
        <v>2</v>
      </c>
      <c r="U626" t="inlineStr">
        <is>
          <t>1995-02-19</t>
        </is>
      </c>
      <c r="V626" t="inlineStr">
        <is>
          <t>1995-02-19</t>
        </is>
      </c>
      <c r="W626" t="inlineStr">
        <is>
          <t>1993-02-26</t>
        </is>
      </c>
      <c r="X626" t="inlineStr">
        <is>
          <t>1993-02-26</t>
        </is>
      </c>
      <c r="Y626" t="n">
        <v>377</v>
      </c>
      <c r="Z626" t="n">
        <v>321</v>
      </c>
      <c r="AA626" t="n">
        <v>324</v>
      </c>
      <c r="AB626" t="n">
        <v>1</v>
      </c>
      <c r="AC626" t="n">
        <v>1</v>
      </c>
      <c r="AD626" t="n">
        <v>14</v>
      </c>
      <c r="AE626" t="n">
        <v>14</v>
      </c>
      <c r="AF626" t="n">
        <v>5</v>
      </c>
      <c r="AG626" t="n">
        <v>5</v>
      </c>
      <c r="AH626" t="n">
        <v>2</v>
      </c>
      <c r="AI626" t="n">
        <v>2</v>
      </c>
      <c r="AJ626" t="n">
        <v>10</v>
      </c>
      <c r="AK626" t="n">
        <v>10</v>
      </c>
      <c r="AL626" t="n">
        <v>0</v>
      </c>
      <c r="AM626" t="n">
        <v>0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HYPERLINK("http://catalog.hathitrust.org/Record/000387360","HathiTrust Record")</f>
        <v/>
      </c>
      <c r="AS626">
        <f>HYPERLINK("https://creighton-primo.hosted.exlibrisgroup.com/primo-explore/search?tab=default_tab&amp;search_scope=EVERYTHING&amp;vid=01CRU&amp;lang=en_US&amp;offset=0&amp;query=any,contains,991003296859702656","Catalog Record")</f>
        <v/>
      </c>
      <c r="AT626">
        <f>HYPERLINK("http://www.worldcat.org/oclc/819518","WorldCat Record")</f>
        <v/>
      </c>
      <c r="AU626" t="inlineStr">
        <is>
          <t>904310856:eng</t>
        </is>
      </c>
      <c r="AV626" t="inlineStr">
        <is>
          <t>819518</t>
        </is>
      </c>
      <c r="AW626" t="inlineStr">
        <is>
          <t>991003296859702656</t>
        </is>
      </c>
      <c r="AX626" t="inlineStr">
        <is>
          <t>991003296859702656</t>
        </is>
      </c>
      <c r="AY626" t="inlineStr">
        <is>
          <t>2264371330002656</t>
        </is>
      </c>
      <c r="AZ626" t="inlineStr">
        <is>
          <t>BOOK</t>
        </is>
      </c>
      <c r="BC626" t="inlineStr">
        <is>
          <t>32285001540185</t>
        </is>
      </c>
      <c r="BD626" t="inlineStr">
        <is>
          <t>893511794</t>
        </is>
      </c>
    </row>
    <row r="627">
      <c r="A627" t="inlineStr">
        <is>
          <t>No</t>
        </is>
      </c>
      <c r="B627" t="inlineStr">
        <is>
          <t>BF561 .P5</t>
        </is>
      </c>
      <c r="C627" t="inlineStr">
        <is>
          <t>0                      BF 0561000P  5</t>
        </is>
      </c>
      <c r="D627" t="inlineStr">
        <is>
          <t>The emotions : facts, theories, and a new model.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Plutchik, Robert.</t>
        </is>
      </c>
      <c r="L627" t="inlineStr">
        <is>
          <t>New York : Random House, [1962]</t>
        </is>
      </c>
      <c r="M627" t="inlineStr">
        <is>
          <t>1962</t>
        </is>
      </c>
      <c r="O627" t="inlineStr">
        <is>
          <t>eng</t>
        </is>
      </c>
      <c r="P627" t="inlineStr">
        <is>
          <t>nyu</t>
        </is>
      </c>
      <c r="Q627" t="inlineStr">
        <is>
          <t>Studies in psychology ; PP24</t>
        </is>
      </c>
      <c r="R627" t="inlineStr">
        <is>
          <t xml:space="preserve">BF </t>
        </is>
      </c>
      <c r="S627" t="n">
        <v>7</v>
      </c>
      <c r="T627" t="n">
        <v>7</v>
      </c>
      <c r="U627" t="inlineStr">
        <is>
          <t>2001-10-23</t>
        </is>
      </c>
      <c r="V627" t="inlineStr">
        <is>
          <t>2001-10-23</t>
        </is>
      </c>
      <c r="W627" t="inlineStr">
        <is>
          <t>1992-11-02</t>
        </is>
      </c>
      <c r="X627" t="inlineStr">
        <is>
          <t>1992-11-02</t>
        </is>
      </c>
      <c r="Y627" t="n">
        <v>482</v>
      </c>
      <c r="Z627" t="n">
        <v>414</v>
      </c>
      <c r="AA627" t="n">
        <v>423</v>
      </c>
      <c r="AB627" t="n">
        <v>5</v>
      </c>
      <c r="AC627" t="n">
        <v>5</v>
      </c>
      <c r="AD627" t="n">
        <v>25</v>
      </c>
      <c r="AE627" t="n">
        <v>25</v>
      </c>
      <c r="AF627" t="n">
        <v>12</v>
      </c>
      <c r="AG627" t="n">
        <v>12</v>
      </c>
      <c r="AH627" t="n">
        <v>4</v>
      </c>
      <c r="AI627" t="n">
        <v>4</v>
      </c>
      <c r="AJ627" t="n">
        <v>11</v>
      </c>
      <c r="AK627" t="n">
        <v>11</v>
      </c>
      <c r="AL627" t="n">
        <v>3</v>
      </c>
      <c r="AM627" t="n">
        <v>3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HYPERLINK("http://catalog.hathitrust.org/Record/000381918","HathiTrust Record")</f>
        <v/>
      </c>
      <c r="AS627">
        <f>HYPERLINK("https://creighton-primo.hosted.exlibrisgroup.com/primo-explore/search?tab=default_tab&amp;search_scope=EVERYTHING&amp;vid=01CRU&amp;lang=en_US&amp;offset=0&amp;query=any,contains,991001366909702656","Catalog Record")</f>
        <v/>
      </c>
      <c r="AT627">
        <f>HYPERLINK("http://www.worldcat.org/oclc/222745","WorldCat Record")</f>
        <v/>
      </c>
      <c r="AU627" t="inlineStr">
        <is>
          <t>1150998138:eng</t>
        </is>
      </c>
      <c r="AV627" t="inlineStr">
        <is>
          <t>222745</t>
        </is>
      </c>
      <c r="AW627" t="inlineStr">
        <is>
          <t>991001366909702656</t>
        </is>
      </c>
      <c r="AX627" t="inlineStr">
        <is>
          <t>991001366909702656</t>
        </is>
      </c>
      <c r="AY627" t="inlineStr">
        <is>
          <t>2262305550002656</t>
        </is>
      </c>
      <c r="AZ627" t="inlineStr">
        <is>
          <t>BOOK</t>
        </is>
      </c>
      <c r="BC627" t="inlineStr">
        <is>
          <t>32285001380459</t>
        </is>
      </c>
      <c r="BD627" t="inlineStr">
        <is>
          <t>893334284</t>
        </is>
      </c>
    </row>
    <row r="628">
      <c r="A628" t="inlineStr">
        <is>
          <t>No</t>
        </is>
      </c>
      <c r="B628" t="inlineStr">
        <is>
          <t>BF575.A3 A513 1989</t>
        </is>
      </c>
      <c r="C628" t="inlineStr">
        <is>
          <t>0                      BF 0575000A  3                  A  513         1989</t>
        </is>
      </c>
      <c r="D628" t="inlineStr">
        <is>
          <t>Aggression and war : their biological and social bases / edited by Jo Groebel, Robert A. Hinde.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Cambridge [England] ; New York : Cambridge University Press, 1989.</t>
        </is>
      </c>
      <c r="M628" t="inlineStr">
        <is>
          <t>1989</t>
        </is>
      </c>
      <c r="O628" t="inlineStr">
        <is>
          <t>eng</t>
        </is>
      </c>
      <c r="P628" t="inlineStr">
        <is>
          <t>enk</t>
        </is>
      </c>
      <c r="R628" t="inlineStr">
        <is>
          <t xml:space="preserve">BF </t>
        </is>
      </c>
      <c r="S628" t="n">
        <v>9</v>
      </c>
      <c r="T628" t="n">
        <v>9</v>
      </c>
      <c r="U628" t="inlineStr">
        <is>
          <t>1998-11-29</t>
        </is>
      </c>
      <c r="V628" t="inlineStr">
        <is>
          <t>1998-11-29</t>
        </is>
      </c>
      <c r="W628" t="inlineStr">
        <is>
          <t>1992-02-21</t>
        </is>
      </c>
      <c r="X628" t="inlineStr">
        <is>
          <t>1992-02-21</t>
        </is>
      </c>
      <c r="Y628" t="n">
        <v>724</v>
      </c>
      <c r="Z628" t="n">
        <v>567</v>
      </c>
      <c r="AA628" t="n">
        <v>569</v>
      </c>
      <c r="AB628" t="n">
        <v>6</v>
      </c>
      <c r="AC628" t="n">
        <v>6</v>
      </c>
      <c r="AD628" t="n">
        <v>32</v>
      </c>
      <c r="AE628" t="n">
        <v>32</v>
      </c>
      <c r="AF628" t="n">
        <v>14</v>
      </c>
      <c r="AG628" t="n">
        <v>14</v>
      </c>
      <c r="AH628" t="n">
        <v>8</v>
      </c>
      <c r="AI628" t="n">
        <v>8</v>
      </c>
      <c r="AJ628" t="n">
        <v>13</v>
      </c>
      <c r="AK628" t="n">
        <v>13</v>
      </c>
      <c r="AL628" t="n">
        <v>5</v>
      </c>
      <c r="AM628" t="n">
        <v>5</v>
      </c>
      <c r="AN628" t="n">
        <v>0</v>
      </c>
      <c r="AO628" t="n">
        <v>0</v>
      </c>
      <c r="AP628" t="inlineStr">
        <is>
          <t>No</t>
        </is>
      </c>
      <c r="AQ628" t="inlineStr">
        <is>
          <t>Yes</t>
        </is>
      </c>
      <c r="AR628">
        <f>HYPERLINK("http://catalog.hathitrust.org/Record/001093466","HathiTrust Record")</f>
        <v/>
      </c>
      <c r="AS628">
        <f>HYPERLINK("https://creighton-primo.hosted.exlibrisgroup.com/primo-explore/search?tab=default_tab&amp;search_scope=EVERYTHING&amp;vid=01CRU&amp;lang=en_US&amp;offset=0&amp;query=any,contains,991001323739702656","Catalog Record")</f>
        <v/>
      </c>
      <c r="AT628">
        <f>HYPERLINK("http://www.worldcat.org/oclc/18257235","WorldCat Record")</f>
        <v/>
      </c>
      <c r="AU628" t="inlineStr">
        <is>
          <t>836711124:eng</t>
        </is>
      </c>
      <c r="AV628" t="inlineStr">
        <is>
          <t>18257235</t>
        </is>
      </c>
      <c r="AW628" t="inlineStr">
        <is>
          <t>991001323739702656</t>
        </is>
      </c>
      <c r="AX628" t="inlineStr">
        <is>
          <t>991001323739702656</t>
        </is>
      </c>
      <c r="AY628" t="inlineStr">
        <is>
          <t>2257654060002656</t>
        </is>
      </c>
      <c r="AZ628" t="inlineStr">
        <is>
          <t>BOOK</t>
        </is>
      </c>
      <c r="BB628" t="inlineStr">
        <is>
          <t>9780521358712</t>
        </is>
      </c>
      <c r="BC628" t="inlineStr">
        <is>
          <t>32285000935907</t>
        </is>
      </c>
      <c r="BD628" t="inlineStr">
        <is>
          <t>893614979</t>
        </is>
      </c>
    </row>
    <row r="629">
      <c r="A629" t="inlineStr">
        <is>
          <t>No</t>
        </is>
      </c>
      <c r="B629" t="inlineStr">
        <is>
          <t>BF575.A3 A525 1983</t>
        </is>
      </c>
      <c r="C629" t="inlineStr">
        <is>
          <t>0                      BF 0575000A  3                  A  525         1983</t>
        </is>
      </c>
      <c r="D629" t="inlineStr">
        <is>
          <t>Aggression, theoretical and empirical reviews / edited by Russell G. Geen, Edward I. Donnerstein.</t>
        </is>
      </c>
      <c r="E629" t="inlineStr">
        <is>
          <t>V.1</t>
        </is>
      </c>
      <c r="F629" t="inlineStr">
        <is>
          <t>Yes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L629" t="inlineStr">
        <is>
          <t>New York : Academic Press, 1983-</t>
        </is>
      </c>
      <c r="M629" t="inlineStr">
        <is>
          <t>1983</t>
        </is>
      </c>
      <c r="O629" t="inlineStr">
        <is>
          <t>eng</t>
        </is>
      </c>
      <c r="P629" t="inlineStr">
        <is>
          <t>nyu</t>
        </is>
      </c>
      <c r="R629" t="inlineStr">
        <is>
          <t xml:space="preserve">BF </t>
        </is>
      </c>
      <c r="S629" t="n">
        <v>5</v>
      </c>
      <c r="T629" t="n">
        <v>13</v>
      </c>
      <c r="U629" t="inlineStr">
        <is>
          <t>2000-10-27</t>
        </is>
      </c>
      <c r="V629" t="inlineStr">
        <is>
          <t>2001-11-11</t>
        </is>
      </c>
      <c r="W629" t="inlineStr">
        <is>
          <t>1992-06-03</t>
        </is>
      </c>
      <c r="X629" t="inlineStr">
        <is>
          <t>1992-06-03</t>
        </is>
      </c>
      <c r="Y629" t="n">
        <v>599</v>
      </c>
      <c r="Z629" t="n">
        <v>479</v>
      </c>
      <c r="AA629" t="n">
        <v>483</v>
      </c>
      <c r="AB629" t="n">
        <v>6</v>
      </c>
      <c r="AC629" t="n">
        <v>6</v>
      </c>
      <c r="AD629" t="n">
        <v>24</v>
      </c>
      <c r="AE629" t="n">
        <v>24</v>
      </c>
      <c r="AF629" t="n">
        <v>8</v>
      </c>
      <c r="AG629" t="n">
        <v>8</v>
      </c>
      <c r="AH629" t="n">
        <v>6</v>
      </c>
      <c r="AI629" t="n">
        <v>6</v>
      </c>
      <c r="AJ629" t="n">
        <v>13</v>
      </c>
      <c r="AK629" t="n">
        <v>13</v>
      </c>
      <c r="AL629" t="n">
        <v>5</v>
      </c>
      <c r="AM629" t="n">
        <v>5</v>
      </c>
      <c r="AN629" t="n">
        <v>0</v>
      </c>
      <c r="AO629" t="n">
        <v>0</v>
      </c>
      <c r="AP629" t="inlineStr">
        <is>
          <t>No</t>
        </is>
      </c>
      <c r="AQ629" t="inlineStr">
        <is>
          <t>Yes</t>
        </is>
      </c>
      <c r="AR629">
        <f>HYPERLINK("http://catalog.hathitrust.org/Record/000315581","HathiTrust Record")</f>
        <v/>
      </c>
      <c r="AS629">
        <f>HYPERLINK("https://creighton-primo.hosted.exlibrisgroup.com/primo-explore/search?tab=default_tab&amp;search_scope=EVERYTHING&amp;vid=01CRU&amp;lang=en_US&amp;offset=0&amp;query=any,contains,991000131879702656","Catalog Record")</f>
        <v/>
      </c>
      <c r="AT629">
        <f>HYPERLINK("http://www.worldcat.org/oclc/9043347","WorldCat Record")</f>
        <v/>
      </c>
      <c r="AU629" t="inlineStr">
        <is>
          <t>3860327509:eng</t>
        </is>
      </c>
      <c r="AV629" t="inlineStr">
        <is>
          <t>9043347</t>
        </is>
      </c>
      <c r="AW629" t="inlineStr">
        <is>
          <t>991000131879702656</t>
        </is>
      </c>
      <c r="AX629" t="inlineStr">
        <is>
          <t>991000131879702656</t>
        </is>
      </c>
      <c r="AY629" t="inlineStr">
        <is>
          <t>2266810800002656</t>
        </is>
      </c>
      <c r="AZ629" t="inlineStr">
        <is>
          <t>BOOK</t>
        </is>
      </c>
      <c r="BB629" t="inlineStr">
        <is>
          <t>9780122788024</t>
        </is>
      </c>
      <c r="BC629" t="inlineStr">
        <is>
          <t>32285001130128</t>
        </is>
      </c>
      <c r="BD629" t="inlineStr">
        <is>
          <t>893314714</t>
        </is>
      </c>
    </row>
    <row r="630">
      <c r="A630" t="inlineStr">
        <is>
          <t>No</t>
        </is>
      </c>
      <c r="B630" t="inlineStr">
        <is>
          <t>BF575.A3 A525 1983</t>
        </is>
      </c>
      <c r="C630" t="inlineStr">
        <is>
          <t>0                      BF 0575000A  3                  A  525         1983</t>
        </is>
      </c>
      <c r="D630" t="inlineStr">
        <is>
          <t>Aggression, theoretical and empirical reviews / edited by Russell G. Geen, Edward I. Donnerstein.</t>
        </is>
      </c>
      <c r="E630" t="inlineStr">
        <is>
          <t>V.2</t>
        </is>
      </c>
      <c r="F630" t="inlineStr">
        <is>
          <t>Yes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New York : Academic Press, 1983-</t>
        </is>
      </c>
      <c r="M630" t="inlineStr">
        <is>
          <t>1983</t>
        </is>
      </c>
      <c r="O630" t="inlineStr">
        <is>
          <t>eng</t>
        </is>
      </c>
      <c r="P630" t="inlineStr">
        <is>
          <t>nyu</t>
        </is>
      </c>
      <c r="R630" t="inlineStr">
        <is>
          <t xml:space="preserve">BF </t>
        </is>
      </c>
      <c r="S630" t="n">
        <v>8</v>
      </c>
      <c r="T630" t="n">
        <v>13</v>
      </c>
      <c r="U630" t="inlineStr">
        <is>
          <t>2001-11-11</t>
        </is>
      </c>
      <c r="V630" t="inlineStr">
        <is>
          <t>2001-11-11</t>
        </is>
      </c>
      <c r="W630" t="inlineStr">
        <is>
          <t>1992-06-03</t>
        </is>
      </c>
      <c r="X630" t="inlineStr">
        <is>
          <t>1992-06-03</t>
        </is>
      </c>
      <c r="Y630" t="n">
        <v>599</v>
      </c>
      <c r="Z630" t="n">
        <v>479</v>
      </c>
      <c r="AA630" t="n">
        <v>483</v>
      </c>
      <c r="AB630" t="n">
        <v>6</v>
      </c>
      <c r="AC630" t="n">
        <v>6</v>
      </c>
      <c r="AD630" t="n">
        <v>24</v>
      </c>
      <c r="AE630" t="n">
        <v>24</v>
      </c>
      <c r="AF630" t="n">
        <v>8</v>
      </c>
      <c r="AG630" t="n">
        <v>8</v>
      </c>
      <c r="AH630" t="n">
        <v>6</v>
      </c>
      <c r="AI630" t="n">
        <v>6</v>
      </c>
      <c r="AJ630" t="n">
        <v>13</v>
      </c>
      <c r="AK630" t="n">
        <v>13</v>
      </c>
      <c r="AL630" t="n">
        <v>5</v>
      </c>
      <c r="AM630" t="n">
        <v>5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HYPERLINK("http://catalog.hathitrust.org/Record/000315581","HathiTrust Record")</f>
        <v/>
      </c>
      <c r="AS630">
        <f>HYPERLINK("https://creighton-primo.hosted.exlibrisgroup.com/primo-explore/search?tab=default_tab&amp;search_scope=EVERYTHING&amp;vid=01CRU&amp;lang=en_US&amp;offset=0&amp;query=any,contains,991000131879702656","Catalog Record")</f>
        <v/>
      </c>
      <c r="AT630">
        <f>HYPERLINK("http://www.worldcat.org/oclc/9043347","WorldCat Record")</f>
        <v/>
      </c>
      <c r="AU630" t="inlineStr">
        <is>
          <t>3860327509:eng</t>
        </is>
      </c>
      <c r="AV630" t="inlineStr">
        <is>
          <t>9043347</t>
        </is>
      </c>
      <c r="AW630" t="inlineStr">
        <is>
          <t>991000131879702656</t>
        </is>
      </c>
      <c r="AX630" t="inlineStr">
        <is>
          <t>991000131879702656</t>
        </is>
      </c>
      <c r="AY630" t="inlineStr">
        <is>
          <t>2266810800002656</t>
        </is>
      </c>
      <c r="AZ630" t="inlineStr">
        <is>
          <t>BOOK</t>
        </is>
      </c>
      <c r="BB630" t="inlineStr">
        <is>
          <t>9780122788024</t>
        </is>
      </c>
      <c r="BC630" t="inlineStr">
        <is>
          <t>32285001130136</t>
        </is>
      </c>
      <c r="BD630" t="inlineStr">
        <is>
          <t>893314713</t>
        </is>
      </c>
    </row>
    <row r="631">
      <c r="A631" t="inlineStr">
        <is>
          <t>No</t>
        </is>
      </c>
      <c r="B631" t="inlineStr">
        <is>
          <t>BF575.A3 A58 1983</t>
        </is>
      </c>
      <c r="C631" t="inlineStr">
        <is>
          <t>0                      BF 0575000A  3                  A  58          1983</t>
        </is>
      </c>
      <c r="D631" t="inlineStr">
        <is>
          <t>Aggressive behavior : genetic and neural approaches / edited by Edward C. Simmel, Martin E. Hahn, James K. Walters.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L631" t="inlineStr">
        <is>
          <t>Hillsdale, N.J. : L. Erlbaum Associates, c1983.</t>
        </is>
      </c>
      <c r="M631" t="inlineStr">
        <is>
          <t>1983</t>
        </is>
      </c>
      <c r="O631" t="inlineStr">
        <is>
          <t>eng</t>
        </is>
      </c>
      <c r="P631" t="inlineStr">
        <is>
          <t>nju</t>
        </is>
      </c>
      <c r="R631" t="inlineStr">
        <is>
          <t xml:space="preserve">BF </t>
        </is>
      </c>
      <c r="S631" t="n">
        <v>8</v>
      </c>
      <c r="T631" t="n">
        <v>8</v>
      </c>
      <c r="U631" t="inlineStr">
        <is>
          <t>1998-09-29</t>
        </is>
      </c>
      <c r="V631" t="inlineStr">
        <is>
          <t>1998-09-29</t>
        </is>
      </c>
      <c r="W631" t="inlineStr">
        <is>
          <t>1993-03-31</t>
        </is>
      </c>
      <c r="X631" t="inlineStr">
        <is>
          <t>1993-03-31</t>
        </is>
      </c>
      <c r="Y631" t="n">
        <v>324</v>
      </c>
      <c r="Z631" t="n">
        <v>271</v>
      </c>
      <c r="AA631" t="n">
        <v>277</v>
      </c>
      <c r="AB631" t="n">
        <v>3</v>
      </c>
      <c r="AC631" t="n">
        <v>3</v>
      </c>
      <c r="AD631" t="n">
        <v>14</v>
      </c>
      <c r="AE631" t="n">
        <v>14</v>
      </c>
      <c r="AF631" t="n">
        <v>2</v>
      </c>
      <c r="AG631" t="n">
        <v>2</v>
      </c>
      <c r="AH631" t="n">
        <v>2</v>
      </c>
      <c r="AI631" t="n">
        <v>2</v>
      </c>
      <c r="AJ631" t="n">
        <v>9</v>
      </c>
      <c r="AK631" t="n">
        <v>9</v>
      </c>
      <c r="AL631" t="n">
        <v>2</v>
      </c>
      <c r="AM631" t="n">
        <v>2</v>
      </c>
      <c r="AN631" t="n">
        <v>0</v>
      </c>
      <c r="AO631" t="n">
        <v>0</v>
      </c>
      <c r="AP631" t="inlineStr">
        <is>
          <t>No</t>
        </is>
      </c>
      <c r="AQ631" t="inlineStr">
        <is>
          <t>Yes</t>
        </is>
      </c>
      <c r="AR631">
        <f>HYPERLINK("http://catalog.hathitrust.org/Record/000772863","HathiTrust Record")</f>
        <v/>
      </c>
      <c r="AS631">
        <f>HYPERLINK("https://creighton-primo.hosted.exlibrisgroup.com/primo-explore/search?tab=default_tab&amp;search_scope=EVERYTHING&amp;vid=01CRU&amp;lang=en_US&amp;offset=0&amp;query=any,contains,991000169829702656","Catalog Record")</f>
        <v/>
      </c>
      <c r="AT631">
        <f>HYPERLINK("http://www.worldcat.org/oclc/9323271","WorldCat Record")</f>
        <v/>
      </c>
      <c r="AU631" t="inlineStr">
        <is>
          <t>355389223:eng</t>
        </is>
      </c>
      <c r="AV631" t="inlineStr">
        <is>
          <t>9323271</t>
        </is>
      </c>
      <c r="AW631" t="inlineStr">
        <is>
          <t>991000169829702656</t>
        </is>
      </c>
      <c r="AX631" t="inlineStr">
        <is>
          <t>991000169829702656</t>
        </is>
      </c>
      <c r="AY631" t="inlineStr">
        <is>
          <t>2257793320002656</t>
        </is>
      </c>
      <c r="AZ631" t="inlineStr">
        <is>
          <t>BOOK</t>
        </is>
      </c>
      <c r="BB631" t="inlineStr">
        <is>
          <t>9780898592535</t>
        </is>
      </c>
      <c r="BC631" t="inlineStr">
        <is>
          <t>32285001595981</t>
        </is>
      </c>
      <c r="BD631" t="inlineStr">
        <is>
          <t>893521469</t>
        </is>
      </c>
    </row>
    <row r="632">
      <c r="A632" t="inlineStr">
        <is>
          <t>No</t>
        </is>
      </c>
      <c r="B632" t="inlineStr">
        <is>
          <t>BF575.A3 B3 1974</t>
        </is>
      </c>
      <c r="C632" t="inlineStr">
        <is>
          <t>0                      BF 0575000A  3                  B  3           1974</t>
        </is>
      </c>
      <c r="D632" t="inlineStr">
        <is>
          <t>Creative aggression / [by] George R. Bach and Herb Goldberg.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Bach, George R. (George Robert), 1914-1986.</t>
        </is>
      </c>
      <c r="L632" t="inlineStr">
        <is>
          <t>New York : Avon, 1974</t>
        </is>
      </c>
      <c r="M632" t="inlineStr">
        <is>
          <t>1974</t>
        </is>
      </c>
      <c r="O632" t="inlineStr">
        <is>
          <t>eng</t>
        </is>
      </c>
      <c r="P632" t="inlineStr">
        <is>
          <t>nyu</t>
        </is>
      </c>
      <c r="R632" t="inlineStr">
        <is>
          <t xml:space="preserve">BF </t>
        </is>
      </c>
      <c r="S632" t="n">
        <v>5</v>
      </c>
      <c r="T632" t="n">
        <v>5</v>
      </c>
      <c r="U632" t="inlineStr">
        <is>
          <t>2003-05-22</t>
        </is>
      </c>
      <c r="V632" t="inlineStr">
        <is>
          <t>2003-05-22</t>
        </is>
      </c>
      <c r="W632" t="inlineStr">
        <is>
          <t>1996-04-24</t>
        </is>
      </c>
      <c r="X632" t="inlineStr">
        <is>
          <t>1996-04-24</t>
        </is>
      </c>
      <c r="Y632" t="n">
        <v>192</v>
      </c>
      <c r="Z632" t="n">
        <v>171</v>
      </c>
      <c r="AA632" t="n">
        <v>937</v>
      </c>
      <c r="AB632" t="n">
        <v>3</v>
      </c>
      <c r="AC632" t="n">
        <v>10</v>
      </c>
      <c r="AD632" t="n">
        <v>8</v>
      </c>
      <c r="AE632" t="n">
        <v>33</v>
      </c>
      <c r="AF632" t="n">
        <v>3</v>
      </c>
      <c r="AG632" t="n">
        <v>10</v>
      </c>
      <c r="AH632" t="n">
        <v>0</v>
      </c>
      <c r="AI632" t="n">
        <v>6</v>
      </c>
      <c r="AJ632" t="n">
        <v>4</v>
      </c>
      <c r="AK632" t="n">
        <v>18</v>
      </c>
      <c r="AL632" t="n">
        <v>2</v>
      </c>
      <c r="AM632" t="n">
        <v>6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HYPERLINK("http://catalog.hathitrust.org/Record/004445213","HathiTrust Record")</f>
        <v/>
      </c>
      <c r="AS632">
        <f>HYPERLINK("https://creighton-primo.hosted.exlibrisgroup.com/primo-explore/search?tab=default_tab&amp;search_scope=EVERYTHING&amp;vid=01CRU&amp;lang=en_US&amp;offset=0&amp;query=any,contains,991004867299702656","Catalog Record")</f>
        <v/>
      </c>
      <c r="AT632">
        <f>HYPERLINK("http://www.worldcat.org/oclc/2232533","WorldCat Record")</f>
        <v/>
      </c>
      <c r="AU632" t="inlineStr">
        <is>
          <t>22595062:eng</t>
        </is>
      </c>
      <c r="AV632" t="inlineStr">
        <is>
          <t>2232533</t>
        </is>
      </c>
      <c r="AW632" t="inlineStr">
        <is>
          <t>991004867299702656</t>
        </is>
      </c>
      <c r="AX632" t="inlineStr">
        <is>
          <t>991004867299702656</t>
        </is>
      </c>
      <c r="AY632" t="inlineStr">
        <is>
          <t>2261101690002656</t>
        </is>
      </c>
      <c r="AZ632" t="inlineStr">
        <is>
          <t>BOOK</t>
        </is>
      </c>
      <c r="BC632" t="inlineStr">
        <is>
          <t>32285002160041</t>
        </is>
      </c>
      <c r="BD632" t="inlineStr">
        <is>
          <t>893536252</t>
        </is>
      </c>
    </row>
    <row r="633">
      <c r="A633" t="inlineStr">
        <is>
          <t>No</t>
        </is>
      </c>
      <c r="B633" t="inlineStr">
        <is>
          <t>BF575.A3 B4</t>
        </is>
      </c>
      <c r="C633" t="inlineStr">
        <is>
          <t>0                      BF 0575000A  3                  B  4</t>
        </is>
      </c>
      <c r="D633" t="inlineStr">
        <is>
          <t>Aggression : a social psychological analysis.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Berkowitz, Leonard, 1926-</t>
        </is>
      </c>
      <c r="L633" t="inlineStr">
        <is>
          <t>New York : McGraw-Hill, [1962]</t>
        </is>
      </c>
      <c r="M633" t="inlineStr">
        <is>
          <t>1962</t>
        </is>
      </c>
      <c r="O633" t="inlineStr">
        <is>
          <t>eng</t>
        </is>
      </c>
      <c r="P633" t="inlineStr">
        <is>
          <t>nyu</t>
        </is>
      </c>
      <c r="Q633" t="inlineStr">
        <is>
          <t>McGraw-Hill series in psychology</t>
        </is>
      </c>
      <c r="R633" t="inlineStr">
        <is>
          <t xml:space="preserve">BF </t>
        </is>
      </c>
      <c r="S633" t="n">
        <v>10</v>
      </c>
      <c r="T633" t="n">
        <v>10</v>
      </c>
      <c r="U633" t="inlineStr">
        <is>
          <t>2000-11-26</t>
        </is>
      </c>
      <c r="V633" t="inlineStr">
        <is>
          <t>2000-11-26</t>
        </is>
      </c>
      <c r="W633" t="inlineStr">
        <is>
          <t>1993-03-31</t>
        </is>
      </c>
      <c r="X633" t="inlineStr">
        <is>
          <t>1993-03-31</t>
        </is>
      </c>
      <c r="Y633" t="n">
        <v>1087</v>
      </c>
      <c r="Z633" t="n">
        <v>876</v>
      </c>
      <c r="AA633" t="n">
        <v>886</v>
      </c>
      <c r="AB633" t="n">
        <v>5</v>
      </c>
      <c r="AC633" t="n">
        <v>5</v>
      </c>
      <c r="AD633" t="n">
        <v>35</v>
      </c>
      <c r="AE633" t="n">
        <v>35</v>
      </c>
      <c r="AF633" t="n">
        <v>17</v>
      </c>
      <c r="AG633" t="n">
        <v>17</v>
      </c>
      <c r="AH633" t="n">
        <v>4</v>
      </c>
      <c r="AI633" t="n">
        <v>4</v>
      </c>
      <c r="AJ633" t="n">
        <v>17</v>
      </c>
      <c r="AK633" t="n">
        <v>17</v>
      </c>
      <c r="AL633" t="n">
        <v>4</v>
      </c>
      <c r="AM633" t="n">
        <v>4</v>
      </c>
      <c r="AN633" t="n">
        <v>1</v>
      </c>
      <c r="AO633" t="n">
        <v>1</v>
      </c>
      <c r="AP633" t="inlineStr">
        <is>
          <t>Yes</t>
        </is>
      </c>
      <c r="AQ633" t="inlineStr">
        <is>
          <t>No</t>
        </is>
      </c>
      <c r="AR633">
        <f>HYPERLINK("http://catalog.hathitrust.org/Record/000382329","HathiTrust Record")</f>
        <v/>
      </c>
      <c r="AS633">
        <f>HYPERLINK("https://creighton-primo.hosted.exlibrisgroup.com/primo-explore/search?tab=default_tab&amp;search_scope=EVERYTHING&amp;vid=01CRU&amp;lang=en_US&amp;offset=0&amp;query=any,contains,991001366949702656","Catalog Record")</f>
        <v/>
      </c>
      <c r="AT633">
        <f>HYPERLINK("http://www.worldcat.org/oclc/222747","WorldCat Record")</f>
        <v/>
      </c>
      <c r="AU633" t="inlineStr">
        <is>
          <t>1329523:eng</t>
        </is>
      </c>
      <c r="AV633" t="inlineStr">
        <is>
          <t>222747</t>
        </is>
      </c>
      <c r="AW633" t="inlineStr">
        <is>
          <t>991001366949702656</t>
        </is>
      </c>
      <c r="AX633" t="inlineStr">
        <is>
          <t>991001366949702656</t>
        </is>
      </c>
      <c r="AY633" t="inlineStr">
        <is>
          <t>2262305430002656</t>
        </is>
      </c>
      <c r="AZ633" t="inlineStr">
        <is>
          <t>BOOK</t>
        </is>
      </c>
      <c r="BC633" t="inlineStr">
        <is>
          <t>32285001595999</t>
        </is>
      </c>
      <c r="BD633" t="inlineStr">
        <is>
          <t>893715391</t>
        </is>
      </c>
    </row>
    <row r="634">
      <c r="A634" t="inlineStr">
        <is>
          <t>No</t>
        </is>
      </c>
      <c r="B634" t="inlineStr">
        <is>
          <t>BF575.A3 B44</t>
        </is>
      </c>
      <c r="C634" t="inlineStr">
        <is>
          <t>0                      BF 0575000A  3                  B  44</t>
        </is>
      </c>
      <c r="D634" t="inlineStr">
        <is>
          <t>Roots of aggression : a re-examination of the frustration-aggression hypothesis.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Berkowitz, Leonard, 1926- compiler.</t>
        </is>
      </c>
      <c r="L634" t="inlineStr">
        <is>
          <t>New York : Atherton Press, 1969.</t>
        </is>
      </c>
      <c r="M634" t="inlineStr">
        <is>
          <t>1969</t>
        </is>
      </c>
      <c r="N634" t="inlineStr">
        <is>
          <t>[1st ed.]</t>
        </is>
      </c>
      <c r="O634" t="inlineStr">
        <is>
          <t>eng</t>
        </is>
      </c>
      <c r="P634" t="inlineStr">
        <is>
          <t>nyu</t>
        </is>
      </c>
      <c r="R634" t="inlineStr">
        <is>
          <t xml:space="preserve">BF </t>
        </is>
      </c>
      <c r="S634" t="n">
        <v>6</v>
      </c>
      <c r="T634" t="n">
        <v>6</v>
      </c>
      <c r="U634" t="inlineStr">
        <is>
          <t>2001-11-11</t>
        </is>
      </c>
      <c r="V634" t="inlineStr">
        <is>
          <t>2001-11-11</t>
        </is>
      </c>
      <c r="W634" t="inlineStr">
        <is>
          <t>1993-02-22</t>
        </is>
      </c>
      <c r="X634" t="inlineStr">
        <is>
          <t>1993-02-22</t>
        </is>
      </c>
      <c r="Y634" t="n">
        <v>626</v>
      </c>
      <c r="Z634" t="n">
        <v>531</v>
      </c>
      <c r="AA634" t="n">
        <v>534</v>
      </c>
      <c r="AB634" t="n">
        <v>6</v>
      </c>
      <c r="AC634" t="n">
        <v>6</v>
      </c>
      <c r="AD634" t="n">
        <v>26</v>
      </c>
      <c r="AE634" t="n">
        <v>26</v>
      </c>
      <c r="AF634" t="n">
        <v>11</v>
      </c>
      <c r="AG634" t="n">
        <v>11</v>
      </c>
      <c r="AH634" t="n">
        <v>5</v>
      </c>
      <c r="AI634" t="n">
        <v>5</v>
      </c>
      <c r="AJ634" t="n">
        <v>12</v>
      </c>
      <c r="AK634" t="n">
        <v>12</v>
      </c>
      <c r="AL634" t="n">
        <v>4</v>
      </c>
      <c r="AM634" t="n">
        <v>4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HYPERLINK("http://catalog.hathitrust.org/Record/000382313","HathiTrust Record")</f>
        <v/>
      </c>
      <c r="AS634">
        <f>HYPERLINK("https://creighton-primo.hosted.exlibrisgroup.com/primo-explore/search?tab=default_tab&amp;search_scope=EVERYTHING&amp;vid=01CRU&amp;lang=en_US&amp;offset=0&amp;query=any,contains,991000041749702656","Catalog Record")</f>
        <v/>
      </c>
      <c r="AT634">
        <f>HYPERLINK("http://www.worldcat.org/oclc/21936","WorldCat Record")</f>
        <v/>
      </c>
      <c r="AU634" t="inlineStr">
        <is>
          <t>363984280:eng</t>
        </is>
      </c>
      <c r="AV634" t="inlineStr">
        <is>
          <t>21936</t>
        </is>
      </c>
      <c r="AW634" t="inlineStr">
        <is>
          <t>991000041749702656</t>
        </is>
      </c>
      <c r="AX634" t="inlineStr">
        <is>
          <t>991000041749702656</t>
        </is>
      </c>
      <c r="AY634" t="inlineStr">
        <is>
          <t>2261395760002656</t>
        </is>
      </c>
      <c r="AZ634" t="inlineStr">
        <is>
          <t>BOOK</t>
        </is>
      </c>
      <c r="BC634" t="inlineStr">
        <is>
          <t>32285001503340</t>
        </is>
      </c>
      <c r="BD634" t="inlineStr">
        <is>
          <t>893437947</t>
        </is>
      </c>
    </row>
    <row r="635">
      <c r="A635" t="inlineStr">
        <is>
          <t>No</t>
        </is>
      </c>
      <c r="B635" t="inlineStr">
        <is>
          <t>BF575.A3 C57 1971</t>
        </is>
      </c>
      <c r="C635" t="inlineStr">
        <is>
          <t>0                      BF 0575000A  3                  C  57          1971</t>
        </is>
      </c>
      <c r="D635" t="inlineStr">
        <is>
          <t>The control of aggression : implications from basic research / edited by John F. Knutson.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Conference on Current Concerns in Clinical Psychology (7th : 1971 : University of Iowa)</t>
        </is>
      </c>
      <c r="L635" t="inlineStr">
        <is>
          <t>Chicago, Aldine Pub. Co. [1973]</t>
        </is>
      </c>
      <c r="M635" t="inlineStr">
        <is>
          <t>1973</t>
        </is>
      </c>
      <c r="O635" t="inlineStr">
        <is>
          <t>eng</t>
        </is>
      </c>
      <c r="P635" t="inlineStr">
        <is>
          <t>ilu</t>
        </is>
      </c>
      <c r="Q635" t="inlineStr">
        <is>
          <t>Current concerns in clinical psychology ; 6</t>
        </is>
      </c>
      <c r="R635" t="inlineStr">
        <is>
          <t xml:space="preserve">BF </t>
        </is>
      </c>
      <c r="S635" t="n">
        <v>5</v>
      </c>
      <c r="T635" t="n">
        <v>5</v>
      </c>
      <c r="U635" t="inlineStr">
        <is>
          <t>2001-11-11</t>
        </is>
      </c>
      <c r="V635" t="inlineStr">
        <is>
          <t>2001-11-11</t>
        </is>
      </c>
      <c r="W635" t="inlineStr">
        <is>
          <t>1997-09-24</t>
        </is>
      </c>
      <c r="X635" t="inlineStr">
        <is>
          <t>1997-09-24</t>
        </is>
      </c>
      <c r="Y635" t="n">
        <v>441</v>
      </c>
      <c r="Z635" t="n">
        <v>337</v>
      </c>
      <c r="AA635" t="n">
        <v>373</v>
      </c>
      <c r="AB635" t="n">
        <v>4</v>
      </c>
      <c r="AC635" t="n">
        <v>4</v>
      </c>
      <c r="AD635" t="n">
        <v>16</v>
      </c>
      <c r="AE635" t="n">
        <v>16</v>
      </c>
      <c r="AF635" t="n">
        <v>3</v>
      </c>
      <c r="AG635" t="n">
        <v>3</v>
      </c>
      <c r="AH635" t="n">
        <v>4</v>
      </c>
      <c r="AI635" t="n">
        <v>4</v>
      </c>
      <c r="AJ635" t="n">
        <v>7</v>
      </c>
      <c r="AK635" t="n">
        <v>7</v>
      </c>
      <c r="AL635" t="n">
        <v>2</v>
      </c>
      <c r="AM635" t="n">
        <v>2</v>
      </c>
      <c r="AN635" t="n">
        <v>3</v>
      </c>
      <c r="AO635" t="n">
        <v>3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HYPERLINK("https://creighton-primo.hosted.exlibrisgroup.com/primo-explore/search?tab=default_tab&amp;search_scope=EVERYTHING&amp;vid=01CRU&amp;lang=en_US&amp;offset=0&amp;query=any,contains,991003311519702656","Catalog Record")</f>
        <v/>
      </c>
      <c r="AT635">
        <f>HYPERLINK("http://www.worldcat.org/oclc/834952","WorldCat Record")</f>
        <v/>
      </c>
      <c r="AU635" t="inlineStr">
        <is>
          <t>372002609:eng</t>
        </is>
      </c>
      <c r="AV635" t="inlineStr">
        <is>
          <t>834952</t>
        </is>
      </c>
      <c r="AW635" t="inlineStr">
        <is>
          <t>991003311519702656</t>
        </is>
      </c>
      <c r="AX635" t="inlineStr">
        <is>
          <t>991003311519702656</t>
        </is>
      </c>
      <c r="AY635" t="inlineStr">
        <is>
          <t>2267468170002656</t>
        </is>
      </c>
      <c r="AZ635" t="inlineStr">
        <is>
          <t>BOOK</t>
        </is>
      </c>
      <c r="BB635" t="inlineStr">
        <is>
          <t>9780202250779</t>
        </is>
      </c>
      <c r="BC635" t="inlineStr">
        <is>
          <t>32285003250403</t>
        </is>
      </c>
      <c r="BD635" t="inlineStr">
        <is>
          <t>893799591</t>
        </is>
      </c>
    </row>
    <row r="636">
      <c r="A636" t="inlineStr">
        <is>
          <t>No</t>
        </is>
      </c>
      <c r="B636" t="inlineStr">
        <is>
          <t>BF575.A3 H66 1983</t>
        </is>
      </c>
      <c r="C636" t="inlineStr">
        <is>
          <t>0                      BF 0575000A  3                  H  66          1983</t>
        </is>
      </c>
      <c r="D636" t="inlineStr">
        <is>
          <t>Hormones and aggressive behavior / edited by Bruce B. Svare.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L636" t="inlineStr">
        <is>
          <t>New York : Plenum Press, c1983.</t>
        </is>
      </c>
      <c r="M636" t="inlineStr">
        <is>
          <t>1983</t>
        </is>
      </c>
      <c r="O636" t="inlineStr">
        <is>
          <t>eng</t>
        </is>
      </c>
      <c r="P636" t="inlineStr">
        <is>
          <t>nyu</t>
        </is>
      </c>
      <c r="R636" t="inlineStr">
        <is>
          <t xml:space="preserve">BF </t>
        </is>
      </c>
      <c r="S636" t="n">
        <v>4</v>
      </c>
      <c r="T636" t="n">
        <v>4</v>
      </c>
      <c r="U636" t="inlineStr">
        <is>
          <t>1995-10-22</t>
        </is>
      </c>
      <c r="V636" t="inlineStr">
        <is>
          <t>1995-10-22</t>
        </is>
      </c>
      <c r="W636" t="inlineStr">
        <is>
          <t>1993-03-03</t>
        </is>
      </c>
      <c r="X636" t="inlineStr">
        <is>
          <t>1993-03-03</t>
        </is>
      </c>
      <c r="Y636" t="n">
        <v>425</v>
      </c>
      <c r="Z636" t="n">
        <v>336</v>
      </c>
      <c r="AA636" t="n">
        <v>357</v>
      </c>
      <c r="AB636" t="n">
        <v>5</v>
      </c>
      <c r="AC636" t="n">
        <v>5</v>
      </c>
      <c r="AD636" t="n">
        <v>15</v>
      </c>
      <c r="AE636" t="n">
        <v>15</v>
      </c>
      <c r="AF636" t="n">
        <v>4</v>
      </c>
      <c r="AG636" t="n">
        <v>4</v>
      </c>
      <c r="AH636" t="n">
        <v>3</v>
      </c>
      <c r="AI636" t="n">
        <v>3</v>
      </c>
      <c r="AJ636" t="n">
        <v>9</v>
      </c>
      <c r="AK636" t="n">
        <v>9</v>
      </c>
      <c r="AL636" t="n">
        <v>4</v>
      </c>
      <c r="AM636" t="n">
        <v>4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HYPERLINK("http://catalog.hathitrust.org/Record/000317423","HathiTrust Record")</f>
        <v/>
      </c>
      <c r="AS636">
        <f>HYPERLINK("https://creighton-primo.hosted.exlibrisgroup.com/primo-explore/search?tab=default_tab&amp;search_scope=EVERYTHING&amp;vid=01CRU&amp;lang=en_US&amp;offset=0&amp;query=any,contains,991000172919702656","Catalog Record")</f>
        <v/>
      </c>
      <c r="AT636">
        <f>HYPERLINK("http://www.worldcat.org/oclc/9325058","WorldCat Record")</f>
        <v/>
      </c>
      <c r="AU636" t="inlineStr">
        <is>
          <t>42920171:eng</t>
        </is>
      </c>
      <c r="AV636" t="inlineStr">
        <is>
          <t>9325058</t>
        </is>
      </c>
      <c r="AW636" t="inlineStr">
        <is>
          <t>991000172919702656</t>
        </is>
      </c>
      <c r="AX636" t="inlineStr">
        <is>
          <t>991000172919702656</t>
        </is>
      </c>
      <c r="AY636" t="inlineStr">
        <is>
          <t>2269973230002656</t>
        </is>
      </c>
      <c r="AZ636" t="inlineStr">
        <is>
          <t>BOOK</t>
        </is>
      </c>
      <c r="BB636" t="inlineStr">
        <is>
          <t>9780306410550</t>
        </is>
      </c>
      <c r="BC636" t="inlineStr">
        <is>
          <t>32285001542256</t>
        </is>
      </c>
      <c r="BD636" t="inlineStr">
        <is>
          <t>893314741</t>
        </is>
      </c>
    </row>
    <row r="637">
      <c r="A637" t="inlineStr">
        <is>
          <t>No</t>
        </is>
      </c>
      <c r="B637" t="inlineStr">
        <is>
          <t>BF575.A3 H67</t>
        </is>
      </c>
      <c r="C637" t="inlineStr">
        <is>
          <t>0                      BF 0575000A  3                  H  67</t>
        </is>
      </c>
      <c r="D637" t="inlineStr">
        <is>
          <t>Cruelty and kindness : a new look at aggression and altruism / Harvey A. Hornstein.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K637" t="inlineStr">
        <is>
          <t>Hornstein, Harvey A., 1938-</t>
        </is>
      </c>
      <c r="L637" t="inlineStr">
        <is>
          <t>Englewood Cliffs, N.J. : Prentice-Hall, c1976.</t>
        </is>
      </c>
      <c r="M637" t="inlineStr">
        <is>
          <t>1976</t>
        </is>
      </c>
      <c r="O637" t="inlineStr">
        <is>
          <t>eng</t>
        </is>
      </c>
      <c r="P637" t="inlineStr">
        <is>
          <t>nju</t>
        </is>
      </c>
      <c r="Q637" t="inlineStr">
        <is>
          <t>A Spectrum book</t>
        </is>
      </c>
      <c r="R637" t="inlineStr">
        <is>
          <t xml:space="preserve">BF </t>
        </is>
      </c>
      <c r="S637" t="n">
        <v>6</v>
      </c>
      <c r="T637" t="n">
        <v>6</v>
      </c>
      <c r="U637" t="inlineStr">
        <is>
          <t>1997-11-02</t>
        </is>
      </c>
      <c r="V637" t="inlineStr">
        <is>
          <t>1997-11-02</t>
        </is>
      </c>
      <c r="W637" t="inlineStr">
        <is>
          <t>1996-07-30</t>
        </is>
      </c>
      <c r="X637" t="inlineStr">
        <is>
          <t>1996-07-30</t>
        </is>
      </c>
      <c r="Y637" t="n">
        <v>831</v>
      </c>
      <c r="Z637" t="n">
        <v>719</v>
      </c>
      <c r="AA637" t="n">
        <v>726</v>
      </c>
      <c r="AB637" t="n">
        <v>6</v>
      </c>
      <c r="AC637" t="n">
        <v>6</v>
      </c>
      <c r="AD637" t="n">
        <v>26</v>
      </c>
      <c r="AE637" t="n">
        <v>26</v>
      </c>
      <c r="AF637" t="n">
        <v>7</v>
      </c>
      <c r="AG637" t="n">
        <v>7</v>
      </c>
      <c r="AH637" t="n">
        <v>5</v>
      </c>
      <c r="AI637" t="n">
        <v>5</v>
      </c>
      <c r="AJ637" t="n">
        <v>14</v>
      </c>
      <c r="AK637" t="n">
        <v>14</v>
      </c>
      <c r="AL637" t="n">
        <v>4</v>
      </c>
      <c r="AM637" t="n">
        <v>4</v>
      </c>
      <c r="AN637" t="n">
        <v>0</v>
      </c>
      <c r="AO637" t="n">
        <v>0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HYPERLINK("http://catalog.hathitrust.org/Record/000722883","HathiTrust Record")</f>
        <v/>
      </c>
      <c r="AS637">
        <f>HYPERLINK("https://creighton-primo.hosted.exlibrisgroup.com/primo-explore/search?tab=default_tab&amp;search_scope=EVERYTHING&amp;vid=01CRU&amp;lang=en_US&amp;offset=0&amp;query=any,contains,991004009359702656","Catalog Record")</f>
        <v/>
      </c>
      <c r="AT637">
        <f>HYPERLINK("http://www.worldcat.org/oclc/2089629","WorldCat Record")</f>
        <v/>
      </c>
      <c r="AU637" t="inlineStr">
        <is>
          <t>906410394:eng</t>
        </is>
      </c>
      <c r="AV637" t="inlineStr">
        <is>
          <t>2089629</t>
        </is>
      </c>
      <c r="AW637" t="inlineStr">
        <is>
          <t>991004009359702656</t>
        </is>
      </c>
      <c r="AX637" t="inlineStr">
        <is>
          <t>991004009359702656</t>
        </is>
      </c>
      <c r="AY637" t="inlineStr">
        <is>
          <t>2263411290002656</t>
        </is>
      </c>
      <c r="AZ637" t="inlineStr">
        <is>
          <t>BOOK</t>
        </is>
      </c>
      <c r="BB637" t="inlineStr">
        <is>
          <t>9780131949287</t>
        </is>
      </c>
      <c r="BC637" t="inlineStr">
        <is>
          <t>32285002249943</t>
        </is>
      </c>
      <c r="BD637" t="inlineStr">
        <is>
          <t>893512682</t>
        </is>
      </c>
    </row>
    <row r="638">
      <c r="A638" t="inlineStr">
        <is>
          <t>No</t>
        </is>
      </c>
      <c r="B638" t="inlineStr">
        <is>
          <t>BF575.A3 M6</t>
        </is>
      </c>
      <c r="C638" t="inlineStr">
        <is>
          <t>0                      BF 0575000A  3                  M  6</t>
        </is>
      </c>
      <c r="D638" t="inlineStr">
        <is>
          <t>Man and aggression / edited by M. F. Ashley Montagu.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Montagu, Ashley, 1905-1999, compiler.</t>
        </is>
      </c>
      <c r="L638" t="inlineStr">
        <is>
          <t>New York : Oxford University Press, 1968.</t>
        </is>
      </c>
      <c r="M638" t="inlineStr">
        <is>
          <t>1968</t>
        </is>
      </c>
      <c r="O638" t="inlineStr">
        <is>
          <t>eng</t>
        </is>
      </c>
      <c r="P638" t="inlineStr">
        <is>
          <t>nyu</t>
        </is>
      </c>
      <c r="R638" t="inlineStr">
        <is>
          <t xml:space="preserve">BF </t>
        </is>
      </c>
      <c r="S638" t="n">
        <v>4</v>
      </c>
      <c r="T638" t="n">
        <v>4</v>
      </c>
      <c r="U638" t="inlineStr">
        <is>
          <t>2000-12-06</t>
        </is>
      </c>
      <c r="V638" t="inlineStr">
        <is>
          <t>2000-12-06</t>
        </is>
      </c>
      <c r="W638" t="inlineStr">
        <is>
          <t>1993-04-03</t>
        </is>
      </c>
      <c r="X638" t="inlineStr">
        <is>
          <t>1993-04-03</t>
        </is>
      </c>
      <c r="Y638" t="n">
        <v>1082</v>
      </c>
      <c r="Z638" t="n">
        <v>931</v>
      </c>
      <c r="AA638" t="n">
        <v>1478</v>
      </c>
      <c r="AB638" t="n">
        <v>9</v>
      </c>
      <c r="AC638" t="n">
        <v>12</v>
      </c>
      <c r="AD638" t="n">
        <v>32</v>
      </c>
      <c r="AE638" t="n">
        <v>46</v>
      </c>
      <c r="AF638" t="n">
        <v>11</v>
      </c>
      <c r="AG638" t="n">
        <v>18</v>
      </c>
      <c r="AH638" t="n">
        <v>7</v>
      </c>
      <c r="AI638" t="n">
        <v>9</v>
      </c>
      <c r="AJ638" t="n">
        <v>17</v>
      </c>
      <c r="AK638" t="n">
        <v>21</v>
      </c>
      <c r="AL638" t="n">
        <v>5</v>
      </c>
      <c r="AM638" t="n">
        <v>8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HYPERLINK("http://catalog.hathitrust.org/Record/000360631","HathiTrust Record")</f>
        <v/>
      </c>
      <c r="AS638">
        <f>HYPERLINK("https://creighton-primo.hosted.exlibrisgroup.com/primo-explore/search?tab=default_tab&amp;search_scope=EVERYTHING&amp;vid=01CRU&amp;lang=en_US&amp;offset=0&amp;query=any,contains,991001233539702656","Catalog Record")</f>
        <v/>
      </c>
      <c r="AT638">
        <f>HYPERLINK("http://www.worldcat.org/oclc/204274","WorldCat Record")</f>
        <v/>
      </c>
      <c r="AU638" t="inlineStr">
        <is>
          <t>763548948:eng</t>
        </is>
      </c>
      <c r="AV638" t="inlineStr">
        <is>
          <t>204274</t>
        </is>
      </c>
      <c r="AW638" t="inlineStr">
        <is>
          <t>991001233539702656</t>
        </is>
      </c>
      <c r="AX638" t="inlineStr">
        <is>
          <t>991001233539702656</t>
        </is>
      </c>
      <c r="AY638" t="inlineStr">
        <is>
          <t>2255535600002656</t>
        </is>
      </c>
      <c r="AZ638" t="inlineStr">
        <is>
          <t>BOOK</t>
        </is>
      </c>
      <c r="BC638" t="inlineStr">
        <is>
          <t>32285001600013</t>
        </is>
      </c>
      <c r="BD638" t="inlineStr">
        <is>
          <t>893327987</t>
        </is>
      </c>
    </row>
    <row r="639">
      <c r="A639" t="inlineStr">
        <is>
          <t>No</t>
        </is>
      </c>
      <c r="B639" t="inlineStr">
        <is>
          <t>BF575.A3 M62</t>
        </is>
      </c>
      <c r="C639" t="inlineStr">
        <is>
          <t>0                      BF 0575000A  3                  M  62</t>
        </is>
      </c>
      <c r="D639" t="inlineStr">
        <is>
          <t>The nature of human aggression / Ashley Montagu.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K639" t="inlineStr">
        <is>
          <t>Montagu, Ashley, 1905-1999.</t>
        </is>
      </c>
      <c r="L639" t="inlineStr">
        <is>
          <t>New York : Oxford University Press, 1976.</t>
        </is>
      </c>
      <c r="M639" t="inlineStr">
        <is>
          <t>1976</t>
        </is>
      </c>
      <c r="O639" t="inlineStr">
        <is>
          <t>eng</t>
        </is>
      </c>
      <c r="P639" t="inlineStr">
        <is>
          <t>nyu</t>
        </is>
      </c>
      <c r="R639" t="inlineStr">
        <is>
          <t xml:space="preserve">BF </t>
        </is>
      </c>
      <c r="S639" t="n">
        <v>12</v>
      </c>
      <c r="T639" t="n">
        <v>12</v>
      </c>
      <c r="U639" t="inlineStr">
        <is>
          <t>2000-12-06</t>
        </is>
      </c>
      <c r="V639" t="inlineStr">
        <is>
          <t>2000-12-06</t>
        </is>
      </c>
      <c r="W639" t="inlineStr">
        <is>
          <t>1996-07-30</t>
        </is>
      </c>
      <c r="X639" t="inlineStr">
        <is>
          <t>1996-07-30</t>
        </is>
      </c>
      <c r="Y639" t="n">
        <v>1336</v>
      </c>
      <c r="Z639" t="n">
        <v>1158</v>
      </c>
      <c r="AA639" t="n">
        <v>1254</v>
      </c>
      <c r="AB639" t="n">
        <v>8</v>
      </c>
      <c r="AC639" t="n">
        <v>8</v>
      </c>
      <c r="AD639" t="n">
        <v>36</v>
      </c>
      <c r="AE639" t="n">
        <v>37</v>
      </c>
      <c r="AF639" t="n">
        <v>13</v>
      </c>
      <c r="AG639" t="n">
        <v>14</v>
      </c>
      <c r="AH639" t="n">
        <v>9</v>
      </c>
      <c r="AI639" t="n">
        <v>9</v>
      </c>
      <c r="AJ639" t="n">
        <v>17</v>
      </c>
      <c r="AK639" t="n">
        <v>18</v>
      </c>
      <c r="AL639" t="n">
        <v>5</v>
      </c>
      <c r="AM639" t="n">
        <v>5</v>
      </c>
      <c r="AN639" t="n">
        <v>1</v>
      </c>
      <c r="AO639" t="n">
        <v>1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HYPERLINK("http://catalog.hathitrust.org/Record/000705287","HathiTrust Record")</f>
        <v/>
      </c>
      <c r="AS639">
        <f>HYPERLINK("https://creighton-primo.hosted.exlibrisgroup.com/primo-explore/search?tab=default_tab&amp;search_scope=EVERYTHING&amp;vid=01CRU&amp;lang=en_US&amp;offset=0&amp;query=any,contains,991004044059702656","Catalog Record")</f>
        <v/>
      </c>
      <c r="AT639">
        <f>HYPERLINK("http://www.worldcat.org/oclc/2195117","WorldCat Record")</f>
        <v/>
      </c>
      <c r="AU639" t="inlineStr">
        <is>
          <t>57574639:eng</t>
        </is>
      </c>
      <c r="AV639" t="inlineStr">
        <is>
          <t>2195117</t>
        </is>
      </c>
      <c r="AW639" t="inlineStr">
        <is>
          <t>991004044059702656</t>
        </is>
      </c>
      <c r="AX639" t="inlineStr">
        <is>
          <t>991004044059702656</t>
        </is>
      </c>
      <c r="AY639" t="inlineStr">
        <is>
          <t>2263966970002656</t>
        </is>
      </c>
      <c r="AZ639" t="inlineStr">
        <is>
          <t>BOOK</t>
        </is>
      </c>
      <c r="BB639" t="inlineStr">
        <is>
          <t>9780195018226</t>
        </is>
      </c>
      <c r="BC639" t="inlineStr">
        <is>
          <t>32285002249968</t>
        </is>
      </c>
      <c r="BD639" t="inlineStr">
        <is>
          <t>893605565</t>
        </is>
      </c>
    </row>
    <row r="640">
      <c r="A640" t="inlineStr">
        <is>
          <t>No</t>
        </is>
      </c>
      <c r="B640" t="inlineStr">
        <is>
          <t>BF575.A3 N48</t>
        </is>
      </c>
      <c r="C640" t="inlineStr">
        <is>
          <t>0                      BF 0575000A  3                  N  48</t>
        </is>
      </c>
      <c r="D640" t="inlineStr">
        <is>
          <t>The Neuropsychology of aggression / edited by Richard E. Whalen.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L640" t="inlineStr">
        <is>
          <t>New York : Plenum Press, [1974]</t>
        </is>
      </c>
      <c r="M640" t="inlineStr">
        <is>
          <t>1974</t>
        </is>
      </c>
      <c r="O640" t="inlineStr">
        <is>
          <t>eng</t>
        </is>
      </c>
      <c r="P640" t="inlineStr">
        <is>
          <t>nyu</t>
        </is>
      </c>
      <c r="Q640" t="inlineStr">
        <is>
          <t>Advances in behavioral biology ; v. 12</t>
        </is>
      </c>
      <c r="R640" t="inlineStr">
        <is>
          <t xml:space="preserve">BF </t>
        </is>
      </c>
      <c r="S640" t="n">
        <v>3</v>
      </c>
      <c r="T640" t="n">
        <v>3</v>
      </c>
      <c r="U640" t="inlineStr">
        <is>
          <t>1998-09-29</t>
        </is>
      </c>
      <c r="V640" t="inlineStr">
        <is>
          <t>1998-09-29</t>
        </is>
      </c>
      <c r="W640" t="inlineStr">
        <is>
          <t>1996-07-30</t>
        </is>
      </c>
      <c r="X640" t="inlineStr">
        <is>
          <t>1996-07-30</t>
        </is>
      </c>
      <c r="Y640" t="n">
        <v>422</v>
      </c>
      <c r="Z640" t="n">
        <v>320</v>
      </c>
      <c r="AA640" t="n">
        <v>337</v>
      </c>
      <c r="AB640" t="n">
        <v>4</v>
      </c>
      <c r="AC640" t="n">
        <v>4</v>
      </c>
      <c r="AD640" t="n">
        <v>16</v>
      </c>
      <c r="AE640" t="n">
        <v>16</v>
      </c>
      <c r="AF640" t="n">
        <v>2</v>
      </c>
      <c r="AG640" t="n">
        <v>2</v>
      </c>
      <c r="AH640" t="n">
        <v>5</v>
      </c>
      <c r="AI640" t="n">
        <v>5</v>
      </c>
      <c r="AJ640" t="n">
        <v>9</v>
      </c>
      <c r="AK640" t="n">
        <v>9</v>
      </c>
      <c r="AL640" t="n">
        <v>3</v>
      </c>
      <c r="AM640" t="n">
        <v>3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HYPERLINK("http://catalog.hathitrust.org/Record/001628960","HathiTrust Record")</f>
        <v/>
      </c>
      <c r="AS640">
        <f>HYPERLINK("https://creighton-primo.hosted.exlibrisgroup.com/primo-explore/search?tab=default_tab&amp;search_scope=EVERYTHING&amp;vid=01CRU&amp;lang=en_US&amp;offset=0&amp;query=any,contains,991003528149702656","Catalog Record")</f>
        <v/>
      </c>
      <c r="AT640">
        <f>HYPERLINK("http://www.worldcat.org/oclc/1091757","WorldCat Record")</f>
        <v/>
      </c>
      <c r="AU640" t="inlineStr">
        <is>
          <t>54024977:eng</t>
        </is>
      </c>
      <c r="AV640" t="inlineStr">
        <is>
          <t>1091757</t>
        </is>
      </c>
      <c r="AW640" t="inlineStr">
        <is>
          <t>991003528149702656</t>
        </is>
      </c>
      <c r="AX640" t="inlineStr">
        <is>
          <t>991003528149702656</t>
        </is>
      </c>
      <c r="AY640" t="inlineStr">
        <is>
          <t>2265994650002656</t>
        </is>
      </c>
      <c r="AZ640" t="inlineStr">
        <is>
          <t>BOOK</t>
        </is>
      </c>
      <c r="BB640" t="inlineStr">
        <is>
          <t>9780306379123</t>
        </is>
      </c>
      <c r="BC640" t="inlineStr">
        <is>
          <t>32285002249976</t>
        </is>
      </c>
      <c r="BD640" t="inlineStr">
        <is>
          <t>893799839</t>
        </is>
      </c>
    </row>
    <row r="641">
      <c r="A641" t="inlineStr">
        <is>
          <t>No</t>
        </is>
      </c>
      <c r="B641" t="inlineStr">
        <is>
          <t>BF575.A3 P47</t>
        </is>
      </c>
      <c r="C641" t="inlineStr">
        <is>
          <t>0                      BF 0575000A  3                  P  47</t>
        </is>
      </c>
      <c r="D641" t="inlineStr">
        <is>
          <t>Perspectives on aggression / edited by Russell G. Geen, Edgar C. O'Neal ; contributors, Robert Boice ... [et al.].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L641" t="inlineStr">
        <is>
          <t>New York : Academic Press, 1976.</t>
        </is>
      </c>
      <c r="M641" t="inlineStr">
        <is>
          <t>1976</t>
        </is>
      </c>
      <c r="O641" t="inlineStr">
        <is>
          <t>eng</t>
        </is>
      </c>
      <c r="P641" t="inlineStr">
        <is>
          <t>nyu</t>
        </is>
      </c>
      <c r="R641" t="inlineStr">
        <is>
          <t xml:space="preserve">BF </t>
        </is>
      </c>
      <c r="S641" t="n">
        <v>5</v>
      </c>
      <c r="T641" t="n">
        <v>5</v>
      </c>
      <c r="U641" t="inlineStr">
        <is>
          <t>2001-11-11</t>
        </is>
      </c>
      <c r="V641" t="inlineStr">
        <is>
          <t>2001-11-11</t>
        </is>
      </c>
      <c r="W641" t="inlineStr">
        <is>
          <t>1996-07-30</t>
        </is>
      </c>
      <c r="X641" t="inlineStr">
        <is>
          <t>1996-07-30</t>
        </is>
      </c>
      <c r="Y641" t="n">
        <v>676</v>
      </c>
      <c r="Z641" t="n">
        <v>503</v>
      </c>
      <c r="AA641" t="n">
        <v>543</v>
      </c>
      <c r="AB641" t="n">
        <v>3</v>
      </c>
      <c r="AC641" t="n">
        <v>4</v>
      </c>
      <c r="AD641" t="n">
        <v>21</v>
      </c>
      <c r="AE641" t="n">
        <v>24</v>
      </c>
      <c r="AF641" t="n">
        <v>5</v>
      </c>
      <c r="AG641" t="n">
        <v>6</v>
      </c>
      <c r="AH641" t="n">
        <v>7</v>
      </c>
      <c r="AI641" t="n">
        <v>8</v>
      </c>
      <c r="AJ641" t="n">
        <v>13</v>
      </c>
      <c r="AK641" t="n">
        <v>13</v>
      </c>
      <c r="AL641" t="n">
        <v>2</v>
      </c>
      <c r="AM641" t="n">
        <v>3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HYPERLINK("http://catalog.hathitrust.org/Record/000722969","HathiTrust Record")</f>
        <v/>
      </c>
      <c r="AS641">
        <f>HYPERLINK("https://creighton-primo.hosted.exlibrisgroup.com/primo-explore/search?tab=default_tab&amp;search_scope=EVERYTHING&amp;vid=01CRU&amp;lang=en_US&amp;offset=0&amp;query=any,contains,991004067839702656","Catalog Record")</f>
        <v/>
      </c>
      <c r="AT641">
        <f>HYPERLINK("http://www.worldcat.org/oclc/2290578","WorldCat Record")</f>
        <v/>
      </c>
      <c r="AU641" t="inlineStr">
        <is>
          <t>350632566:eng</t>
        </is>
      </c>
      <c r="AV641" t="inlineStr">
        <is>
          <t>2290578</t>
        </is>
      </c>
      <c r="AW641" t="inlineStr">
        <is>
          <t>991004067839702656</t>
        </is>
      </c>
      <c r="AX641" t="inlineStr">
        <is>
          <t>991004067839702656</t>
        </is>
      </c>
      <c r="AY641" t="inlineStr">
        <is>
          <t>2266435360002656</t>
        </is>
      </c>
      <c r="AZ641" t="inlineStr">
        <is>
          <t>BOOK</t>
        </is>
      </c>
      <c r="BB641" t="inlineStr">
        <is>
          <t>9780122788505</t>
        </is>
      </c>
      <c r="BC641" t="inlineStr">
        <is>
          <t>32285002249984</t>
        </is>
      </c>
      <c r="BD641" t="inlineStr">
        <is>
          <t>893599389</t>
        </is>
      </c>
    </row>
    <row r="642">
      <c r="A642" t="inlineStr">
        <is>
          <t>No</t>
        </is>
      </c>
      <c r="B642" t="inlineStr">
        <is>
          <t>BF575.A3 S4313 1975b</t>
        </is>
      </c>
      <c r="C642" t="inlineStr">
        <is>
          <t>0                      BF 0575000A  3                  S  4313        1975b</t>
        </is>
      </c>
      <c r="D642" t="inlineStr">
        <is>
          <t>The making of human aggression : a psychological approach / edited by Herbert Selg ; with a foreword by Bob Green ; [translated from the German by Arnold Pomerans].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Selg, Herbert, 1935-</t>
        </is>
      </c>
      <c r="L642" t="inlineStr">
        <is>
          <t>New York : St. Martin's Press, [1975]</t>
        </is>
      </c>
      <c r="M642" t="inlineStr">
        <is>
          <t>1975</t>
        </is>
      </c>
      <c r="O642" t="inlineStr">
        <is>
          <t>eng</t>
        </is>
      </c>
      <c r="P642" t="inlineStr">
        <is>
          <t>nyu</t>
        </is>
      </c>
      <c r="R642" t="inlineStr">
        <is>
          <t xml:space="preserve">BF </t>
        </is>
      </c>
      <c r="S642" t="n">
        <v>6</v>
      </c>
      <c r="T642" t="n">
        <v>6</v>
      </c>
      <c r="U642" t="inlineStr">
        <is>
          <t>1995-03-26</t>
        </is>
      </c>
      <c r="V642" t="inlineStr">
        <is>
          <t>1995-03-26</t>
        </is>
      </c>
      <c r="W642" t="inlineStr">
        <is>
          <t>1993-06-08</t>
        </is>
      </c>
      <c r="X642" t="inlineStr">
        <is>
          <t>1993-06-08</t>
        </is>
      </c>
      <c r="Y642" t="n">
        <v>408</v>
      </c>
      <c r="Z642" t="n">
        <v>382</v>
      </c>
      <c r="AA642" t="n">
        <v>438</v>
      </c>
      <c r="AB642" t="n">
        <v>5</v>
      </c>
      <c r="AC642" t="n">
        <v>5</v>
      </c>
      <c r="AD642" t="n">
        <v>14</v>
      </c>
      <c r="AE642" t="n">
        <v>16</v>
      </c>
      <c r="AF642" t="n">
        <v>5</v>
      </c>
      <c r="AG642" t="n">
        <v>5</v>
      </c>
      <c r="AH642" t="n">
        <v>2</v>
      </c>
      <c r="AI642" t="n">
        <v>3</v>
      </c>
      <c r="AJ642" t="n">
        <v>6</v>
      </c>
      <c r="AK642" t="n">
        <v>7</v>
      </c>
      <c r="AL642" t="n">
        <v>3</v>
      </c>
      <c r="AM642" t="n">
        <v>3</v>
      </c>
      <c r="AN642" t="n">
        <v>0</v>
      </c>
      <c r="AO642" t="n">
        <v>0</v>
      </c>
      <c r="AP642" t="inlineStr">
        <is>
          <t>No</t>
        </is>
      </c>
      <c r="AQ642" t="inlineStr">
        <is>
          <t>No</t>
        </is>
      </c>
      <c r="AS642">
        <f>HYPERLINK("https://creighton-primo.hosted.exlibrisgroup.com/primo-explore/search?tab=default_tab&amp;search_scope=EVERYTHING&amp;vid=01CRU&amp;lang=en_US&amp;offset=0&amp;query=any,contains,991003984209702656","Catalog Record")</f>
        <v/>
      </c>
      <c r="AT642">
        <f>HYPERLINK("http://www.worldcat.org/oclc/2024697","WorldCat Record")</f>
        <v/>
      </c>
      <c r="AU642" t="inlineStr">
        <is>
          <t>10628100594:eng</t>
        </is>
      </c>
      <c r="AV642" t="inlineStr">
        <is>
          <t>2024697</t>
        </is>
      </c>
      <c r="AW642" t="inlineStr">
        <is>
          <t>991003984209702656</t>
        </is>
      </c>
      <c r="AX642" t="inlineStr">
        <is>
          <t>991003984209702656</t>
        </is>
      </c>
      <c r="AY642" t="inlineStr">
        <is>
          <t>2264680660002656</t>
        </is>
      </c>
      <c r="AZ642" t="inlineStr">
        <is>
          <t>BOOK</t>
        </is>
      </c>
      <c r="BC642" t="inlineStr">
        <is>
          <t>32285001719854</t>
        </is>
      </c>
      <c r="BD642" t="inlineStr">
        <is>
          <t>893693385</t>
        </is>
      </c>
    </row>
    <row r="643">
      <c r="A643" t="inlineStr">
        <is>
          <t>No</t>
        </is>
      </c>
      <c r="B643" t="inlineStr">
        <is>
          <t>BF575.A3 Z54</t>
        </is>
      </c>
      <c r="C643" t="inlineStr">
        <is>
          <t>0                      BF 0575000A  3                  Z  54</t>
        </is>
      </c>
      <c r="D643" t="inlineStr">
        <is>
          <t>Hostility and aggression / Dolf Zillmann.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Zillmann, Dolf.</t>
        </is>
      </c>
      <c r="L643" t="inlineStr">
        <is>
          <t>Hillsdale, N.J. : L. Erlbaum Associates ; New York : distributed by the Halsted Press, 1979.</t>
        </is>
      </c>
      <c r="M643" t="inlineStr">
        <is>
          <t>1979</t>
        </is>
      </c>
      <c r="O643" t="inlineStr">
        <is>
          <t>eng</t>
        </is>
      </c>
      <c r="P643" t="inlineStr">
        <is>
          <t>nju</t>
        </is>
      </c>
      <c r="R643" t="inlineStr">
        <is>
          <t xml:space="preserve">BF </t>
        </is>
      </c>
      <c r="S643" t="n">
        <v>7</v>
      </c>
      <c r="T643" t="n">
        <v>7</v>
      </c>
      <c r="U643" t="inlineStr">
        <is>
          <t>2000-11-26</t>
        </is>
      </c>
      <c r="V643" t="inlineStr">
        <is>
          <t>2000-11-26</t>
        </is>
      </c>
      <c r="W643" t="inlineStr">
        <is>
          <t>1993-02-19</t>
        </is>
      </c>
      <c r="X643" t="inlineStr">
        <is>
          <t>1993-02-19</t>
        </is>
      </c>
      <c r="Y643" t="n">
        <v>452</v>
      </c>
      <c r="Z643" t="n">
        <v>360</v>
      </c>
      <c r="AA643" t="n">
        <v>368</v>
      </c>
      <c r="AB643" t="n">
        <v>3</v>
      </c>
      <c r="AC643" t="n">
        <v>3</v>
      </c>
      <c r="AD643" t="n">
        <v>15</v>
      </c>
      <c r="AE643" t="n">
        <v>15</v>
      </c>
      <c r="AF643" t="n">
        <v>3</v>
      </c>
      <c r="AG643" t="n">
        <v>3</v>
      </c>
      <c r="AH643" t="n">
        <v>7</v>
      </c>
      <c r="AI643" t="n">
        <v>7</v>
      </c>
      <c r="AJ643" t="n">
        <v>8</v>
      </c>
      <c r="AK643" t="n">
        <v>8</v>
      </c>
      <c r="AL643" t="n">
        <v>2</v>
      </c>
      <c r="AM643" t="n">
        <v>2</v>
      </c>
      <c r="AN643" t="n">
        <v>0</v>
      </c>
      <c r="AO643" t="n">
        <v>0</v>
      </c>
      <c r="AP643" t="inlineStr">
        <is>
          <t>No</t>
        </is>
      </c>
      <c r="AQ643" t="inlineStr">
        <is>
          <t>No</t>
        </is>
      </c>
      <c r="AS643">
        <f>HYPERLINK("https://creighton-primo.hosted.exlibrisgroup.com/primo-explore/search?tab=default_tab&amp;search_scope=EVERYTHING&amp;vid=01CRU&amp;lang=en_US&amp;offset=0&amp;query=any,contains,991004798219702656","Catalog Record")</f>
        <v/>
      </c>
      <c r="AT643">
        <f>HYPERLINK("http://www.worldcat.org/oclc/5196743","WorldCat Record")</f>
        <v/>
      </c>
      <c r="AU643" t="inlineStr">
        <is>
          <t>16959029:eng</t>
        </is>
      </c>
      <c r="AV643" t="inlineStr">
        <is>
          <t>5196743</t>
        </is>
      </c>
      <c r="AW643" t="inlineStr">
        <is>
          <t>991004798219702656</t>
        </is>
      </c>
      <c r="AX643" t="inlineStr">
        <is>
          <t>991004798219702656</t>
        </is>
      </c>
      <c r="AY643" t="inlineStr">
        <is>
          <t>2258603350002656</t>
        </is>
      </c>
      <c r="AZ643" t="inlineStr">
        <is>
          <t>BOOK</t>
        </is>
      </c>
      <c r="BB643" t="inlineStr">
        <is>
          <t>9780470268322</t>
        </is>
      </c>
      <c r="BC643" t="inlineStr">
        <is>
          <t>32285001503332</t>
        </is>
      </c>
      <c r="BD643" t="inlineStr">
        <is>
          <t>893870128</t>
        </is>
      </c>
    </row>
    <row r="644">
      <c r="A644" t="inlineStr">
        <is>
          <t>No</t>
        </is>
      </c>
      <c r="B644" t="inlineStr">
        <is>
          <t>BF575.A6 A58</t>
        </is>
      </c>
      <c r="C644" t="inlineStr">
        <is>
          <t>0                      BF 0575000A  6                  A  58</t>
        </is>
      </c>
      <c r="D644" t="inlineStr">
        <is>
          <t>Anxiety : current trends in theory and research / edited by Charles D. Spielberger. Contributors: Ernest S. Barratt [and others]</t>
        </is>
      </c>
      <c r="E644" t="inlineStr">
        <is>
          <t>V.2</t>
        </is>
      </c>
      <c r="F644" t="inlineStr">
        <is>
          <t>Yes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L644" t="inlineStr">
        <is>
          <t>New York : Academic Press, 1972.</t>
        </is>
      </c>
      <c r="M644" t="inlineStr">
        <is>
          <t>1972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BF </t>
        </is>
      </c>
      <c r="S644" t="n">
        <v>6</v>
      </c>
      <c r="T644" t="n">
        <v>10</v>
      </c>
      <c r="U644" t="inlineStr">
        <is>
          <t>1997-11-04</t>
        </is>
      </c>
      <c r="V644" t="inlineStr">
        <is>
          <t>2001-04-10</t>
        </is>
      </c>
      <c r="W644" t="inlineStr">
        <is>
          <t>1991-09-17</t>
        </is>
      </c>
      <c r="X644" t="inlineStr">
        <is>
          <t>1991-09-17</t>
        </is>
      </c>
      <c r="Y644" t="n">
        <v>664</v>
      </c>
      <c r="Z644" t="n">
        <v>510</v>
      </c>
      <c r="AA644" t="n">
        <v>528</v>
      </c>
      <c r="AB644" t="n">
        <v>2</v>
      </c>
      <c r="AC644" t="n">
        <v>2</v>
      </c>
      <c r="AD644" t="n">
        <v>29</v>
      </c>
      <c r="AE644" t="n">
        <v>30</v>
      </c>
      <c r="AF644" t="n">
        <v>12</v>
      </c>
      <c r="AG644" t="n">
        <v>13</v>
      </c>
      <c r="AH644" t="n">
        <v>10</v>
      </c>
      <c r="AI644" t="n">
        <v>10</v>
      </c>
      <c r="AJ644" t="n">
        <v>15</v>
      </c>
      <c r="AK644" t="n">
        <v>15</v>
      </c>
      <c r="AL644" t="n">
        <v>1</v>
      </c>
      <c r="AM644" t="n">
        <v>1</v>
      </c>
      <c r="AN644" t="n">
        <v>0</v>
      </c>
      <c r="AO644" t="n">
        <v>0</v>
      </c>
      <c r="AP644" t="inlineStr">
        <is>
          <t>No</t>
        </is>
      </c>
      <c r="AQ644" t="inlineStr">
        <is>
          <t>Yes</t>
        </is>
      </c>
      <c r="AR644">
        <f>HYPERLINK("http://catalog.hathitrust.org/Record/000194310","HathiTrust Record")</f>
        <v/>
      </c>
      <c r="AS644">
        <f>HYPERLINK("https://creighton-primo.hosted.exlibrisgroup.com/primo-explore/search?tab=default_tab&amp;search_scope=EVERYTHING&amp;vid=01CRU&amp;lang=en_US&amp;offset=0&amp;query=any,contains,991002863909702656","Catalog Record")</f>
        <v/>
      </c>
      <c r="AT644">
        <f>HYPERLINK("http://www.worldcat.org/oclc/494978","WorldCat Record")</f>
        <v/>
      </c>
      <c r="AU644" t="inlineStr">
        <is>
          <t>4820473623:eng</t>
        </is>
      </c>
      <c r="AV644" t="inlineStr">
        <is>
          <t>494978</t>
        </is>
      </c>
      <c r="AW644" t="inlineStr">
        <is>
          <t>991002863909702656</t>
        </is>
      </c>
      <c r="AX644" t="inlineStr">
        <is>
          <t>991002863909702656</t>
        </is>
      </c>
      <c r="AY644" t="inlineStr">
        <is>
          <t>2255806180002656</t>
        </is>
      </c>
      <c r="AZ644" t="inlineStr">
        <is>
          <t>BOOK</t>
        </is>
      </c>
      <c r="BB644" t="inlineStr">
        <is>
          <t>9780126574012</t>
        </is>
      </c>
      <c r="BC644" t="inlineStr">
        <is>
          <t>32285000756543</t>
        </is>
      </c>
      <c r="BD644" t="inlineStr">
        <is>
          <t>893867795</t>
        </is>
      </c>
    </row>
    <row r="645">
      <c r="A645" t="inlineStr">
        <is>
          <t>No</t>
        </is>
      </c>
      <c r="B645" t="inlineStr">
        <is>
          <t>BF575.A6 A58</t>
        </is>
      </c>
      <c r="C645" t="inlineStr">
        <is>
          <t>0                      BF 0575000A  6                  A  58</t>
        </is>
      </c>
      <c r="D645" t="inlineStr">
        <is>
          <t>Anxiety : current trends in theory and research / edited by Charles D. Spielberger. Contributors: Ernest S. Barratt [and others]</t>
        </is>
      </c>
      <c r="E645" t="inlineStr">
        <is>
          <t>V.1</t>
        </is>
      </c>
      <c r="F645" t="inlineStr">
        <is>
          <t>Yes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L645" t="inlineStr">
        <is>
          <t>New York : Academic Press, 1972.</t>
        </is>
      </c>
      <c r="M645" t="inlineStr">
        <is>
          <t>1972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BF </t>
        </is>
      </c>
      <c r="S645" t="n">
        <v>4</v>
      </c>
      <c r="T645" t="n">
        <v>10</v>
      </c>
      <c r="U645" t="inlineStr">
        <is>
          <t>2001-04-10</t>
        </is>
      </c>
      <c r="V645" t="inlineStr">
        <is>
          <t>2001-04-10</t>
        </is>
      </c>
      <c r="W645" t="inlineStr">
        <is>
          <t>1991-09-17</t>
        </is>
      </c>
      <c r="X645" t="inlineStr">
        <is>
          <t>1991-09-17</t>
        </is>
      </c>
      <c r="Y645" t="n">
        <v>664</v>
      </c>
      <c r="Z645" t="n">
        <v>510</v>
      </c>
      <c r="AA645" t="n">
        <v>528</v>
      </c>
      <c r="AB645" t="n">
        <v>2</v>
      </c>
      <c r="AC645" t="n">
        <v>2</v>
      </c>
      <c r="AD645" t="n">
        <v>29</v>
      </c>
      <c r="AE645" t="n">
        <v>30</v>
      </c>
      <c r="AF645" t="n">
        <v>12</v>
      </c>
      <c r="AG645" t="n">
        <v>13</v>
      </c>
      <c r="AH645" t="n">
        <v>10</v>
      </c>
      <c r="AI645" t="n">
        <v>10</v>
      </c>
      <c r="AJ645" t="n">
        <v>15</v>
      </c>
      <c r="AK645" t="n">
        <v>15</v>
      </c>
      <c r="AL645" t="n">
        <v>1</v>
      </c>
      <c r="AM645" t="n">
        <v>1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HYPERLINK("http://catalog.hathitrust.org/Record/000194310","HathiTrust Record")</f>
        <v/>
      </c>
      <c r="AS645">
        <f>HYPERLINK("https://creighton-primo.hosted.exlibrisgroup.com/primo-explore/search?tab=default_tab&amp;search_scope=EVERYTHING&amp;vid=01CRU&amp;lang=en_US&amp;offset=0&amp;query=any,contains,991002863909702656","Catalog Record")</f>
        <v/>
      </c>
      <c r="AT645">
        <f>HYPERLINK("http://www.worldcat.org/oclc/494978","WorldCat Record")</f>
        <v/>
      </c>
      <c r="AU645" t="inlineStr">
        <is>
          <t>4820473623:eng</t>
        </is>
      </c>
      <c r="AV645" t="inlineStr">
        <is>
          <t>494978</t>
        </is>
      </c>
      <c r="AW645" t="inlineStr">
        <is>
          <t>991002863909702656</t>
        </is>
      </c>
      <c r="AX645" t="inlineStr">
        <is>
          <t>991002863909702656</t>
        </is>
      </c>
      <c r="AY645" t="inlineStr">
        <is>
          <t>2255806180002656</t>
        </is>
      </c>
      <c r="AZ645" t="inlineStr">
        <is>
          <t>BOOK</t>
        </is>
      </c>
      <c r="BB645" t="inlineStr">
        <is>
          <t>9780126574012</t>
        </is>
      </c>
      <c r="BC645" t="inlineStr">
        <is>
          <t>32285000756535</t>
        </is>
      </c>
      <c r="BD645" t="inlineStr">
        <is>
          <t>893867796</t>
        </is>
      </c>
    </row>
    <row r="646">
      <c r="A646" t="inlineStr">
        <is>
          <t>No</t>
        </is>
      </c>
      <c r="B646" t="inlineStr">
        <is>
          <t>BF575.A6 C76</t>
        </is>
      </c>
      <c r="C646" t="inlineStr">
        <is>
          <t>0                      BF 0575000A  6                  C  76</t>
        </is>
      </c>
      <c r="D646" t="inlineStr">
        <is>
          <t>Cross-cultural anxiety / edited by Charles D. Spielberger, Rogelio Diaz-Guerrero.</t>
        </is>
      </c>
      <c r="E646" t="inlineStr">
        <is>
          <t>V. 3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L646" t="inlineStr">
        <is>
          <t>Washington : Hemisphere Pub. Co. ; New York : distributed by Halsted Press, c1976-</t>
        </is>
      </c>
      <c r="M646" t="inlineStr">
        <is>
          <t>1976</t>
        </is>
      </c>
      <c r="O646" t="inlineStr">
        <is>
          <t>eng</t>
        </is>
      </c>
      <c r="P646" t="inlineStr">
        <is>
          <t>dcu</t>
        </is>
      </c>
      <c r="Q646" t="inlineStr">
        <is>
          <t>The series in clinical and community psychology, 0146-0846</t>
        </is>
      </c>
      <c r="R646" t="inlineStr">
        <is>
          <t xml:space="preserve">BF </t>
        </is>
      </c>
      <c r="S646" t="n">
        <v>2</v>
      </c>
      <c r="T646" t="n">
        <v>2</v>
      </c>
      <c r="U646" t="inlineStr">
        <is>
          <t>1997-11-04</t>
        </is>
      </c>
      <c r="V646" t="inlineStr">
        <is>
          <t>1997-11-04</t>
        </is>
      </c>
      <c r="W646" t="inlineStr">
        <is>
          <t>1992-04-09</t>
        </is>
      </c>
      <c r="X646" t="inlineStr">
        <is>
          <t>1992-04-09</t>
        </is>
      </c>
      <c r="Y646" t="n">
        <v>456</v>
      </c>
      <c r="Z646" t="n">
        <v>365</v>
      </c>
      <c r="AA646" t="n">
        <v>385</v>
      </c>
      <c r="AB646" t="n">
        <v>5</v>
      </c>
      <c r="AC646" t="n">
        <v>5</v>
      </c>
      <c r="AD646" t="n">
        <v>21</v>
      </c>
      <c r="AE646" t="n">
        <v>21</v>
      </c>
      <c r="AF646" t="n">
        <v>4</v>
      </c>
      <c r="AG646" t="n">
        <v>4</v>
      </c>
      <c r="AH646" t="n">
        <v>8</v>
      </c>
      <c r="AI646" t="n">
        <v>8</v>
      </c>
      <c r="AJ646" t="n">
        <v>12</v>
      </c>
      <c r="AK646" t="n">
        <v>12</v>
      </c>
      <c r="AL646" t="n">
        <v>4</v>
      </c>
      <c r="AM646" t="n">
        <v>4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HYPERLINK("http://catalog.hathitrust.org/Record/000309452","HathiTrust Record")</f>
        <v/>
      </c>
      <c r="AS646">
        <f>HYPERLINK("https://creighton-primo.hosted.exlibrisgroup.com/primo-explore/search?tab=default_tab&amp;search_scope=EVERYTHING&amp;vid=01CRU&amp;lang=en_US&amp;offset=0&amp;query=any,contains,991004108259702656","Catalog Record")</f>
        <v/>
      </c>
      <c r="AT646">
        <f>HYPERLINK("http://www.worldcat.org/oclc/2388304","WorldCat Record")</f>
        <v/>
      </c>
      <c r="AU646" t="inlineStr">
        <is>
          <t>363991725:eng</t>
        </is>
      </c>
      <c r="AV646" t="inlineStr">
        <is>
          <t>2388304</t>
        </is>
      </c>
      <c r="AW646" t="inlineStr">
        <is>
          <t>991004108259702656</t>
        </is>
      </c>
      <c r="AX646" t="inlineStr">
        <is>
          <t>991004108259702656</t>
        </is>
      </c>
      <c r="AY646" t="inlineStr">
        <is>
          <t>2259228090002656</t>
        </is>
      </c>
      <c r="AZ646" t="inlineStr">
        <is>
          <t>BOOK</t>
        </is>
      </c>
      <c r="BB646" t="inlineStr">
        <is>
          <t>9780470989401</t>
        </is>
      </c>
      <c r="BC646" t="inlineStr">
        <is>
          <t>32285001057875</t>
        </is>
      </c>
      <c r="BD646" t="inlineStr">
        <is>
          <t>893599435</t>
        </is>
      </c>
    </row>
    <row r="647">
      <c r="A647" t="inlineStr">
        <is>
          <t>No</t>
        </is>
      </c>
      <c r="B647" t="inlineStr">
        <is>
          <t>BF575.A6 F5 1970</t>
        </is>
      </c>
      <c r="C647" t="inlineStr">
        <is>
          <t>0                      BF 0575000A  6                  F  5           1970</t>
        </is>
      </c>
      <c r="D647" t="inlineStr">
        <is>
          <t>Theories of anxiety / [by] William F. Fischer.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Fischer, William F. (William Frank)</t>
        </is>
      </c>
      <c r="L647" t="inlineStr">
        <is>
          <t>New York : Harper &amp; Row, [1970]</t>
        </is>
      </c>
      <c r="M647" t="inlineStr">
        <is>
          <t>1970</t>
        </is>
      </c>
      <c r="O647" t="inlineStr">
        <is>
          <t>eng</t>
        </is>
      </c>
      <c r="P647" t="inlineStr">
        <is>
          <t>nyu</t>
        </is>
      </c>
      <c r="R647" t="inlineStr">
        <is>
          <t xml:space="preserve">BF </t>
        </is>
      </c>
      <c r="S647" t="n">
        <v>3</v>
      </c>
      <c r="T647" t="n">
        <v>3</v>
      </c>
      <c r="U647" t="inlineStr">
        <is>
          <t>2008-08-14</t>
        </is>
      </c>
      <c r="V647" t="inlineStr">
        <is>
          <t>2008-08-14</t>
        </is>
      </c>
      <c r="W647" t="inlineStr">
        <is>
          <t>1991-09-17</t>
        </is>
      </c>
      <c r="X647" t="inlineStr">
        <is>
          <t>1991-09-17</t>
        </is>
      </c>
      <c r="Y647" t="n">
        <v>712</v>
      </c>
      <c r="Z647" t="n">
        <v>558</v>
      </c>
      <c r="AA647" t="n">
        <v>605</v>
      </c>
      <c r="AB647" t="n">
        <v>4</v>
      </c>
      <c r="AC647" t="n">
        <v>5</v>
      </c>
      <c r="AD647" t="n">
        <v>27</v>
      </c>
      <c r="AE647" t="n">
        <v>32</v>
      </c>
      <c r="AF647" t="n">
        <v>13</v>
      </c>
      <c r="AG647" t="n">
        <v>14</v>
      </c>
      <c r="AH647" t="n">
        <v>4</v>
      </c>
      <c r="AI647" t="n">
        <v>6</v>
      </c>
      <c r="AJ647" t="n">
        <v>12</v>
      </c>
      <c r="AK647" t="n">
        <v>15</v>
      </c>
      <c r="AL647" t="n">
        <v>3</v>
      </c>
      <c r="AM647" t="n">
        <v>4</v>
      </c>
      <c r="AN647" t="n">
        <v>0</v>
      </c>
      <c r="AO647" t="n">
        <v>0</v>
      </c>
      <c r="AP647" t="inlineStr">
        <is>
          <t>No</t>
        </is>
      </c>
      <c r="AQ647" t="inlineStr">
        <is>
          <t>Yes</t>
        </is>
      </c>
      <c r="AR647">
        <f>HYPERLINK("http://catalog.hathitrust.org/Record/000360110","HathiTrust Record")</f>
        <v/>
      </c>
      <c r="AS647">
        <f>HYPERLINK("https://creighton-primo.hosted.exlibrisgroup.com/primo-explore/search?tab=default_tab&amp;search_scope=EVERYTHING&amp;vid=01CRU&amp;lang=en_US&amp;offset=0&amp;query=any,contains,991000178209702656","Catalog Record")</f>
        <v/>
      </c>
      <c r="AT647">
        <f>HYPERLINK("http://www.worldcat.org/oclc/62254","WorldCat Record")</f>
        <v/>
      </c>
      <c r="AU647" t="inlineStr">
        <is>
          <t>1224570:eng</t>
        </is>
      </c>
      <c r="AV647" t="inlineStr">
        <is>
          <t>62254</t>
        </is>
      </c>
      <c r="AW647" t="inlineStr">
        <is>
          <t>991000178209702656</t>
        </is>
      </c>
      <c r="AX647" t="inlineStr">
        <is>
          <t>991000178209702656</t>
        </is>
      </c>
      <c r="AY647" t="inlineStr">
        <is>
          <t>2255292250002656</t>
        </is>
      </c>
      <c r="AZ647" t="inlineStr">
        <is>
          <t>BOOK</t>
        </is>
      </c>
      <c r="BC647" t="inlineStr">
        <is>
          <t>32285000756568</t>
        </is>
      </c>
      <c r="BD647" t="inlineStr">
        <is>
          <t>893327099</t>
        </is>
      </c>
    </row>
    <row r="648">
      <c r="A648" t="inlineStr">
        <is>
          <t>No</t>
        </is>
      </c>
      <c r="B648" t="inlineStr">
        <is>
          <t>BF575.A6 G35 1971</t>
        </is>
      </c>
      <c r="C648" t="inlineStr">
        <is>
          <t>0                      BF 0575000A  6                  G  35          1971</t>
        </is>
      </c>
      <c r="D648" t="inlineStr">
        <is>
          <t>Anxiety and educational achievement / [by] Eric Gaudry [and] Charles D. Spielberger.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Gaudry, Eric.</t>
        </is>
      </c>
      <c r="L648" t="inlineStr">
        <is>
          <t>Sydney ; New York : J. Wiley &amp; Sons Australasia, [1971]</t>
        </is>
      </c>
      <c r="M648" t="inlineStr">
        <is>
          <t>1971</t>
        </is>
      </c>
      <c r="O648" t="inlineStr">
        <is>
          <t>eng</t>
        </is>
      </c>
      <c r="P648" t="inlineStr">
        <is>
          <t xml:space="preserve">at </t>
        </is>
      </c>
      <c r="R648" t="inlineStr">
        <is>
          <t xml:space="preserve">BF </t>
        </is>
      </c>
      <c r="S648" t="n">
        <v>4</v>
      </c>
      <c r="T648" t="n">
        <v>4</v>
      </c>
      <c r="U648" t="inlineStr">
        <is>
          <t>2004-10-18</t>
        </is>
      </c>
      <c r="V648" t="inlineStr">
        <is>
          <t>2004-10-18</t>
        </is>
      </c>
      <c r="W648" t="inlineStr">
        <is>
          <t>1991-11-25</t>
        </is>
      </c>
      <c r="X648" t="inlineStr">
        <is>
          <t>1991-11-25</t>
        </is>
      </c>
      <c r="Y648" t="n">
        <v>541</v>
      </c>
      <c r="Z648" t="n">
        <v>388</v>
      </c>
      <c r="AA648" t="n">
        <v>391</v>
      </c>
      <c r="AB648" t="n">
        <v>5</v>
      </c>
      <c r="AC648" t="n">
        <v>5</v>
      </c>
      <c r="AD648" t="n">
        <v>19</v>
      </c>
      <c r="AE648" t="n">
        <v>19</v>
      </c>
      <c r="AF648" t="n">
        <v>6</v>
      </c>
      <c r="AG648" t="n">
        <v>6</v>
      </c>
      <c r="AH648" t="n">
        <v>5</v>
      </c>
      <c r="AI648" t="n">
        <v>5</v>
      </c>
      <c r="AJ648" t="n">
        <v>6</v>
      </c>
      <c r="AK648" t="n">
        <v>6</v>
      </c>
      <c r="AL648" t="n">
        <v>4</v>
      </c>
      <c r="AM648" t="n">
        <v>4</v>
      </c>
      <c r="AN648" t="n">
        <v>0</v>
      </c>
      <c r="AO648" t="n">
        <v>0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HYPERLINK("http://catalog.hathitrust.org/Record/000360122","HathiTrust Record")</f>
        <v/>
      </c>
      <c r="AS648">
        <f>HYPERLINK("https://creighton-primo.hosted.exlibrisgroup.com/primo-explore/search?tab=default_tab&amp;search_scope=EVERYTHING&amp;vid=01CRU&amp;lang=en_US&amp;offset=0&amp;query=any,contains,991002295669702656","Catalog Record")</f>
        <v/>
      </c>
      <c r="AT648">
        <f>HYPERLINK("http://www.worldcat.org/oclc/315316","WorldCat Record")</f>
        <v/>
      </c>
      <c r="AU648" t="inlineStr">
        <is>
          <t>1384270:eng</t>
        </is>
      </c>
      <c r="AV648" t="inlineStr">
        <is>
          <t>315316</t>
        </is>
      </c>
      <c r="AW648" t="inlineStr">
        <is>
          <t>991002295669702656</t>
        </is>
      </c>
      <c r="AX648" t="inlineStr">
        <is>
          <t>991002295669702656</t>
        </is>
      </c>
      <c r="AY648" t="inlineStr">
        <is>
          <t>2268867790002656</t>
        </is>
      </c>
      <c r="AZ648" t="inlineStr">
        <is>
          <t>BOOK</t>
        </is>
      </c>
      <c r="BB648" t="inlineStr">
        <is>
          <t>9780471292890</t>
        </is>
      </c>
      <c r="BC648" t="inlineStr">
        <is>
          <t>32285000845346</t>
        </is>
      </c>
      <c r="BD648" t="inlineStr">
        <is>
          <t>893609698</t>
        </is>
      </c>
    </row>
    <row r="649">
      <c r="A649" t="inlineStr">
        <is>
          <t>No</t>
        </is>
      </c>
      <c r="B649" t="inlineStr">
        <is>
          <t>BF575.A6 I9</t>
        </is>
      </c>
      <c r="C649" t="inlineStr">
        <is>
          <t>0                      BF 0575000A  6                  I  9</t>
        </is>
      </c>
      <c r="D649" t="inlineStr">
        <is>
          <t>Patterns of emotions : a new analysis of anxiety and depression / [by] Carroll E. Izard. With chapters coauthored by Edmund S. Bartlett [and] Alan G. Marshall.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Izard, Carroll E. (Carroll Ellis), 1923-2017.</t>
        </is>
      </c>
      <c r="L649" t="inlineStr">
        <is>
          <t>New York : Academic Press, 1972.</t>
        </is>
      </c>
      <c r="M649" t="inlineStr">
        <is>
          <t>1972</t>
        </is>
      </c>
      <c r="O649" t="inlineStr">
        <is>
          <t>eng</t>
        </is>
      </c>
      <c r="P649" t="inlineStr">
        <is>
          <t>nyu</t>
        </is>
      </c>
      <c r="R649" t="inlineStr">
        <is>
          <t xml:space="preserve">BF </t>
        </is>
      </c>
      <c r="S649" t="n">
        <v>3</v>
      </c>
      <c r="T649" t="n">
        <v>3</v>
      </c>
      <c r="U649" t="inlineStr">
        <is>
          <t>1998-12-14</t>
        </is>
      </c>
      <c r="V649" t="inlineStr">
        <is>
          <t>1998-12-14</t>
        </is>
      </c>
      <c r="W649" t="inlineStr">
        <is>
          <t>1991-09-17</t>
        </is>
      </c>
      <c r="X649" t="inlineStr">
        <is>
          <t>1991-09-17</t>
        </is>
      </c>
      <c r="Y649" t="n">
        <v>582</v>
      </c>
      <c r="Z649" t="n">
        <v>438</v>
      </c>
      <c r="AA649" t="n">
        <v>471</v>
      </c>
      <c r="AB649" t="n">
        <v>5</v>
      </c>
      <c r="AC649" t="n">
        <v>5</v>
      </c>
      <c r="AD649" t="n">
        <v>25</v>
      </c>
      <c r="AE649" t="n">
        <v>27</v>
      </c>
      <c r="AF649" t="n">
        <v>9</v>
      </c>
      <c r="AG649" t="n">
        <v>11</v>
      </c>
      <c r="AH649" t="n">
        <v>5</v>
      </c>
      <c r="AI649" t="n">
        <v>6</v>
      </c>
      <c r="AJ649" t="n">
        <v>12</v>
      </c>
      <c r="AK649" t="n">
        <v>12</v>
      </c>
      <c r="AL649" t="n">
        <v>4</v>
      </c>
      <c r="AM649" t="n">
        <v>4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HYPERLINK("http://catalog.hathitrust.org/Record/000360124","HathiTrust Record")</f>
        <v/>
      </c>
      <c r="AS649">
        <f>HYPERLINK("https://creighton-primo.hosted.exlibrisgroup.com/primo-explore/search?tab=default_tab&amp;search_scope=EVERYTHING&amp;vid=01CRU&amp;lang=en_US&amp;offset=0&amp;query=any,contains,991002935609702656","Catalog Record")</f>
        <v/>
      </c>
      <c r="AT649">
        <f>HYPERLINK("http://www.worldcat.org/oclc/532427","WorldCat Record")</f>
        <v/>
      </c>
      <c r="AU649" t="inlineStr">
        <is>
          <t>241343071:eng</t>
        </is>
      </c>
      <c r="AV649" t="inlineStr">
        <is>
          <t>532427</t>
        </is>
      </c>
      <c r="AW649" t="inlineStr">
        <is>
          <t>991002935609702656</t>
        </is>
      </c>
      <c r="AX649" t="inlineStr">
        <is>
          <t>991002935609702656</t>
        </is>
      </c>
      <c r="AY649" t="inlineStr">
        <is>
          <t>2266070470002656</t>
        </is>
      </c>
      <c r="AZ649" t="inlineStr">
        <is>
          <t>BOOK</t>
        </is>
      </c>
      <c r="BB649" t="inlineStr">
        <is>
          <t>9780123777508</t>
        </is>
      </c>
      <c r="BC649" t="inlineStr">
        <is>
          <t>32285000756550</t>
        </is>
      </c>
      <c r="BD649" t="inlineStr">
        <is>
          <t>893251792</t>
        </is>
      </c>
    </row>
    <row r="650">
      <c r="A650" t="inlineStr">
        <is>
          <t>No</t>
        </is>
      </c>
      <c r="B650" t="inlineStr">
        <is>
          <t>BF575.A6 K8</t>
        </is>
      </c>
      <c r="C650" t="inlineStr">
        <is>
          <t>0                      BF 0575000A  6                  K  8</t>
        </is>
      </c>
      <c r="D650" t="inlineStr">
        <is>
          <t>Anxiety and education, by Z. E. Kurzweil.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Kurzweil, Z. E. (Zvi E.)</t>
        </is>
      </c>
      <c r="L650" t="inlineStr">
        <is>
          <t>New York, T. Yoseloff [1968]</t>
        </is>
      </c>
      <c r="M650" t="inlineStr">
        <is>
          <t>1968</t>
        </is>
      </c>
      <c r="O650" t="inlineStr">
        <is>
          <t>eng</t>
        </is>
      </c>
      <c r="P650" t="inlineStr">
        <is>
          <t>nyu</t>
        </is>
      </c>
      <c r="R650" t="inlineStr">
        <is>
          <t xml:space="preserve">BF </t>
        </is>
      </c>
      <c r="S650" t="n">
        <v>2</v>
      </c>
      <c r="T650" t="n">
        <v>2</v>
      </c>
      <c r="U650" t="inlineStr">
        <is>
          <t>1997-11-05</t>
        </is>
      </c>
      <c r="V650" t="inlineStr">
        <is>
          <t>1997-11-05</t>
        </is>
      </c>
      <c r="W650" t="inlineStr">
        <is>
          <t>1996-07-30</t>
        </is>
      </c>
      <c r="X650" t="inlineStr">
        <is>
          <t>1996-07-30</t>
        </is>
      </c>
      <c r="Y650" t="n">
        <v>292</v>
      </c>
      <c r="Z650" t="n">
        <v>242</v>
      </c>
      <c r="AA650" t="n">
        <v>249</v>
      </c>
      <c r="AB650" t="n">
        <v>3</v>
      </c>
      <c r="AC650" t="n">
        <v>3</v>
      </c>
      <c r="AD650" t="n">
        <v>11</v>
      </c>
      <c r="AE650" t="n">
        <v>11</v>
      </c>
      <c r="AF650" t="n">
        <v>1</v>
      </c>
      <c r="AG650" t="n">
        <v>1</v>
      </c>
      <c r="AH650" t="n">
        <v>3</v>
      </c>
      <c r="AI650" t="n">
        <v>3</v>
      </c>
      <c r="AJ650" t="n">
        <v>7</v>
      </c>
      <c r="AK650" t="n">
        <v>7</v>
      </c>
      <c r="AL650" t="n">
        <v>2</v>
      </c>
      <c r="AM650" t="n">
        <v>2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HYPERLINK("http://catalog.hathitrust.org/Record/000360127","HathiTrust Record")</f>
        <v/>
      </c>
      <c r="AS650">
        <f>HYPERLINK("https://creighton-primo.hosted.exlibrisgroup.com/primo-explore/search?tab=default_tab&amp;search_scope=EVERYTHING&amp;vid=01CRU&amp;lang=en_US&amp;offset=0&amp;query=any,contains,991002785139702656","Catalog Record")</f>
        <v/>
      </c>
      <c r="AT650">
        <f>HYPERLINK("http://www.worldcat.org/oclc/441335","WorldCat Record")</f>
        <v/>
      </c>
      <c r="AU650" t="inlineStr">
        <is>
          <t>217531:eng</t>
        </is>
      </c>
      <c r="AV650" t="inlineStr">
        <is>
          <t>441335</t>
        </is>
      </c>
      <c r="AW650" t="inlineStr">
        <is>
          <t>991002785139702656</t>
        </is>
      </c>
      <c r="AX650" t="inlineStr">
        <is>
          <t>991002785139702656</t>
        </is>
      </c>
      <c r="AY650" t="inlineStr">
        <is>
          <t>2256885320002656</t>
        </is>
      </c>
      <c r="AZ650" t="inlineStr">
        <is>
          <t>BOOK</t>
        </is>
      </c>
      <c r="BC650" t="inlineStr">
        <is>
          <t>32285002250032</t>
        </is>
      </c>
      <c r="BD650" t="inlineStr">
        <is>
          <t>893517742</t>
        </is>
      </c>
    </row>
    <row r="651">
      <c r="A651" t="inlineStr">
        <is>
          <t>No</t>
        </is>
      </c>
      <c r="B651" t="inlineStr">
        <is>
          <t>BF575.A6 L46</t>
        </is>
      </c>
      <c r="C651" t="inlineStr">
        <is>
          <t>0                      BF 0575000A  6                  L  46</t>
        </is>
      </c>
      <c r="D651" t="inlineStr">
        <is>
          <t>The psychology of anxiety [by] Eugene E. Levitt.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Levitt, Eugene E.</t>
        </is>
      </c>
      <c r="L651" t="inlineStr">
        <is>
          <t>Indianapolis, Bobbs-Merrill [1967]</t>
        </is>
      </c>
      <c r="M651" t="inlineStr">
        <is>
          <t>1967</t>
        </is>
      </c>
      <c r="O651" t="inlineStr">
        <is>
          <t>eng</t>
        </is>
      </c>
      <c r="P651" t="inlineStr">
        <is>
          <t>inu</t>
        </is>
      </c>
      <c r="R651" t="inlineStr">
        <is>
          <t xml:space="preserve">BF </t>
        </is>
      </c>
      <c r="S651" t="n">
        <v>8</v>
      </c>
      <c r="T651" t="n">
        <v>8</v>
      </c>
      <c r="U651" t="inlineStr">
        <is>
          <t>2001-04-10</t>
        </is>
      </c>
      <c r="V651" t="inlineStr">
        <is>
          <t>2001-04-10</t>
        </is>
      </c>
      <c r="W651" t="inlineStr">
        <is>
          <t>1996-07-30</t>
        </is>
      </c>
      <c r="X651" t="inlineStr">
        <is>
          <t>1996-07-30</t>
        </is>
      </c>
      <c r="Y651" t="n">
        <v>647</v>
      </c>
      <c r="Z651" t="n">
        <v>565</v>
      </c>
      <c r="AA651" t="n">
        <v>806</v>
      </c>
      <c r="AB651" t="n">
        <v>3</v>
      </c>
      <c r="AC651" t="n">
        <v>4</v>
      </c>
      <c r="AD651" t="n">
        <v>24</v>
      </c>
      <c r="AE651" t="n">
        <v>34</v>
      </c>
      <c r="AF651" t="n">
        <v>13</v>
      </c>
      <c r="AG651" t="n">
        <v>16</v>
      </c>
      <c r="AH651" t="n">
        <v>4</v>
      </c>
      <c r="AI651" t="n">
        <v>8</v>
      </c>
      <c r="AJ651" t="n">
        <v>10</v>
      </c>
      <c r="AK651" t="n">
        <v>15</v>
      </c>
      <c r="AL651" t="n">
        <v>2</v>
      </c>
      <c r="AM651" t="n">
        <v>3</v>
      </c>
      <c r="AN651" t="n">
        <v>0</v>
      </c>
      <c r="AO651" t="n">
        <v>0</v>
      </c>
      <c r="AP651" t="inlineStr">
        <is>
          <t>No</t>
        </is>
      </c>
      <c r="AQ651" t="inlineStr">
        <is>
          <t>Yes</t>
        </is>
      </c>
      <c r="AR651">
        <f>HYPERLINK("http://catalog.hathitrust.org/Record/000360165","HathiTrust Record")</f>
        <v/>
      </c>
      <c r="AS651">
        <f>HYPERLINK("https://creighton-primo.hosted.exlibrisgroup.com/primo-explore/search?tab=default_tab&amp;search_scope=EVERYTHING&amp;vid=01CRU&amp;lang=en_US&amp;offset=0&amp;query=any,contains,991001233429702656","Catalog Record")</f>
        <v/>
      </c>
      <c r="AT651">
        <f>HYPERLINK("http://www.worldcat.org/oclc/204234","WorldCat Record")</f>
        <v/>
      </c>
      <c r="AU651" t="inlineStr">
        <is>
          <t>554345:eng</t>
        </is>
      </c>
      <c r="AV651" t="inlineStr">
        <is>
          <t>204234</t>
        </is>
      </c>
      <c r="AW651" t="inlineStr">
        <is>
          <t>991001233429702656</t>
        </is>
      </c>
      <c r="AX651" t="inlineStr">
        <is>
          <t>991001233429702656</t>
        </is>
      </c>
      <c r="AY651" t="inlineStr">
        <is>
          <t>2255549840002656</t>
        </is>
      </c>
      <c r="AZ651" t="inlineStr">
        <is>
          <t>BOOK</t>
        </is>
      </c>
      <c r="BC651" t="inlineStr">
        <is>
          <t>32285002250040</t>
        </is>
      </c>
      <c r="BD651" t="inlineStr">
        <is>
          <t>893432714</t>
        </is>
      </c>
    </row>
    <row r="652">
      <c r="A652" t="inlineStr">
        <is>
          <t>No</t>
        </is>
      </c>
      <c r="B652" t="inlineStr">
        <is>
          <t>BF575.A6 M35 1977</t>
        </is>
      </c>
      <c r="C652" t="inlineStr">
        <is>
          <t>0                      BF 0575000A  6                  M  35          1977</t>
        </is>
      </c>
      <c r="D652" t="inlineStr">
        <is>
          <t>The meaning of anxiety / by Rollo May.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May, Rollo.</t>
        </is>
      </c>
      <c r="L652" t="inlineStr">
        <is>
          <t>New York : Norton, c1977.</t>
        </is>
      </c>
      <c r="M652" t="inlineStr">
        <is>
          <t>1977</t>
        </is>
      </c>
      <c r="N652" t="inlineStr">
        <is>
          <t>Rev. ed.</t>
        </is>
      </c>
      <c r="O652" t="inlineStr">
        <is>
          <t>eng</t>
        </is>
      </c>
      <c r="P652" t="inlineStr">
        <is>
          <t>nyu</t>
        </is>
      </c>
      <c r="R652" t="inlineStr">
        <is>
          <t xml:space="preserve">BF </t>
        </is>
      </c>
      <c r="S652" t="n">
        <v>3</v>
      </c>
      <c r="T652" t="n">
        <v>3</v>
      </c>
      <c r="U652" t="inlineStr">
        <is>
          <t>1998-12-14</t>
        </is>
      </c>
      <c r="V652" t="inlineStr">
        <is>
          <t>1998-12-14</t>
        </is>
      </c>
      <c r="W652" t="inlineStr">
        <is>
          <t>1991-06-18</t>
        </is>
      </c>
      <c r="X652" t="inlineStr">
        <is>
          <t>1991-06-18</t>
        </is>
      </c>
      <c r="Y652" t="n">
        <v>1077</v>
      </c>
      <c r="Z652" t="n">
        <v>975</v>
      </c>
      <c r="AA652" t="n">
        <v>2024</v>
      </c>
      <c r="AB652" t="n">
        <v>8</v>
      </c>
      <c r="AC652" t="n">
        <v>15</v>
      </c>
      <c r="AD652" t="n">
        <v>28</v>
      </c>
      <c r="AE652" t="n">
        <v>62</v>
      </c>
      <c r="AF652" t="n">
        <v>11</v>
      </c>
      <c r="AG652" t="n">
        <v>24</v>
      </c>
      <c r="AH652" t="n">
        <v>8</v>
      </c>
      <c r="AI652" t="n">
        <v>10</v>
      </c>
      <c r="AJ652" t="n">
        <v>13</v>
      </c>
      <c r="AK652" t="n">
        <v>28</v>
      </c>
      <c r="AL652" t="n">
        <v>4</v>
      </c>
      <c r="AM652" t="n">
        <v>11</v>
      </c>
      <c r="AN652" t="n">
        <v>0</v>
      </c>
      <c r="AO652" t="n">
        <v>1</v>
      </c>
      <c r="AP652" t="inlineStr">
        <is>
          <t>No</t>
        </is>
      </c>
      <c r="AQ652" t="inlineStr">
        <is>
          <t>No</t>
        </is>
      </c>
      <c r="AS652">
        <f>HYPERLINK("https://creighton-primo.hosted.exlibrisgroup.com/primo-explore/search?tab=default_tab&amp;search_scope=EVERYTHING&amp;vid=01CRU&amp;lang=en_US&amp;offset=0&amp;query=any,contains,991004247009702656","Catalog Record")</f>
        <v/>
      </c>
      <c r="AT652">
        <f>HYPERLINK("http://www.worldcat.org/oclc/2798797","WorldCat Record")</f>
        <v/>
      </c>
      <c r="AU652" t="inlineStr">
        <is>
          <t>573023:eng</t>
        </is>
      </c>
      <c r="AV652" t="inlineStr">
        <is>
          <t>2798797</t>
        </is>
      </c>
      <c r="AW652" t="inlineStr">
        <is>
          <t>991004247009702656</t>
        </is>
      </c>
      <c r="AX652" t="inlineStr">
        <is>
          <t>991004247009702656</t>
        </is>
      </c>
      <c r="AY652" t="inlineStr">
        <is>
          <t>2270968830002656</t>
        </is>
      </c>
      <c r="AZ652" t="inlineStr">
        <is>
          <t>BOOK</t>
        </is>
      </c>
      <c r="BB652" t="inlineStr">
        <is>
          <t>9780393011364</t>
        </is>
      </c>
      <c r="BC652" t="inlineStr">
        <is>
          <t>32285000630987</t>
        </is>
      </c>
      <c r="BD652" t="inlineStr">
        <is>
          <t>893513003</t>
        </is>
      </c>
    </row>
    <row r="653">
      <c r="A653" t="inlineStr">
        <is>
          <t>No</t>
        </is>
      </c>
      <c r="B653" t="inlineStr">
        <is>
          <t>BF575.A85 A43 1986</t>
        </is>
      </c>
      <c r="C653" t="inlineStr">
        <is>
          <t>0                      BF 0575000A  85                 A  43          1986</t>
        </is>
      </c>
      <c r="D653" t="inlineStr">
        <is>
          <t>Your perfect right : a guide to assertive living / Robert E. Alberti, Michael L. Emmons.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Alberti, Robert E.</t>
        </is>
      </c>
      <c r="L653" t="inlineStr">
        <is>
          <t>San Luis Obispo, Calif. : Impact Publishers, 1986.</t>
        </is>
      </c>
      <c r="M653" t="inlineStr">
        <is>
          <t>1986</t>
        </is>
      </c>
      <c r="N653" t="inlineStr">
        <is>
          <t>5th rev. ed.</t>
        </is>
      </c>
      <c r="O653" t="inlineStr">
        <is>
          <t>eng</t>
        </is>
      </c>
      <c r="P653" t="inlineStr">
        <is>
          <t>cau</t>
        </is>
      </c>
      <c r="R653" t="inlineStr">
        <is>
          <t xml:space="preserve">BF </t>
        </is>
      </c>
      <c r="S653" t="n">
        <v>12</v>
      </c>
      <c r="T653" t="n">
        <v>12</v>
      </c>
      <c r="U653" t="inlineStr">
        <is>
          <t>2005-06-15</t>
        </is>
      </c>
      <c r="V653" t="inlineStr">
        <is>
          <t>2005-06-15</t>
        </is>
      </c>
      <c r="W653" t="inlineStr">
        <is>
          <t>1990-03-21</t>
        </is>
      </c>
      <c r="X653" t="inlineStr">
        <is>
          <t>1990-03-21</t>
        </is>
      </c>
      <c r="Y653" t="n">
        <v>421</v>
      </c>
      <c r="Z653" t="n">
        <v>379</v>
      </c>
      <c r="AA653" t="n">
        <v>1088</v>
      </c>
      <c r="AB653" t="n">
        <v>2</v>
      </c>
      <c r="AC653" t="n">
        <v>8</v>
      </c>
      <c r="AD653" t="n">
        <v>9</v>
      </c>
      <c r="AE653" t="n">
        <v>24</v>
      </c>
      <c r="AF653" t="n">
        <v>4</v>
      </c>
      <c r="AG653" t="n">
        <v>10</v>
      </c>
      <c r="AH653" t="n">
        <v>1</v>
      </c>
      <c r="AI653" t="n">
        <v>4</v>
      </c>
      <c r="AJ653" t="n">
        <v>6</v>
      </c>
      <c r="AK653" t="n">
        <v>10</v>
      </c>
      <c r="AL653" t="n">
        <v>0</v>
      </c>
      <c r="AM653" t="n">
        <v>4</v>
      </c>
      <c r="AN653" t="n">
        <v>0</v>
      </c>
      <c r="AO653" t="n">
        <v>0</v>
      </c>
      <c r="AP653" t="inlineStr">
        <is>
          <t>No</t>
        </is>
      </c>
      <c r="AQ653" t="inlineStr">
        <is>
          <t>No</t>
        </is>
      </c>
      <c r="AS653">
        <f>HYPERLINK("https://creighton-primo.hosted.exlibrisgroup.com/primo-explore/search?tab=default_tab&amp;search_scope=EVERYTHING&amp;vid=01CRU&amp;lang=en_US&amp;offset=0&amp;query=any,contains,991000823219702656","Catalog Record")</f>
        <v/>
      </c>
      <c r="AT653">
        <f>HYPERLINK("http://www.worldcat.org/oclc/13396864","WorldCat Record")</f>
        <v/>
      </c>
      <c r="AU653" t="inlineStr">
        <is>
          <t>1842502:eng</t>
        </is>
      </c>
      <c r="AV653" t="inlineStr">
        <is>
          <t>13396864</t>
        </is>
      </c>
      <c r="AW653" t="inlineStr">
        <is>
          <t>991000823219702656</t>
        </is>
      </c>
      <c r="AX653" t="inlineStr">
        <is>
          <t>991000823219702656</t>
        </is>
      </c>
      <c r="AY653" t="inlineStr">
        <is>
          <t>2260796410002656</t>
        </is>
      </c>
      <c r="AZ653" t="inlineStr">
        <is>
          <t>BOOK</t>
        </is>
      </c>
      <c r="BB653" t="inlineStr">
        <is>
          <t>9780915166077</t>
        </is>
      </c>
      <c r="BC653" t="inlineStr">
        <is>
          <t>32285000088772</t>
        </is>
      </c>
      <c r="BD653" t="inlineStr">
        <is>
          <t>893683785</t>
        </is>
      </c>
    </row>
    <row r="654">
      <c r="A654" t="inlineStr">
        <is>
          <t>No</t>
        </is>
      </c>
      <c r="B654" t="inlineStr">
        <is>
          <t>BF575.A85 B68</t>
        </is>
      </c>
      <c r="C654" t="inlineStr">
        <is>
          <t>0                      BF 0575000A  85                 B  68</t>
        </is>
      </c>
      <c r="D654" t="inlineStr">
        <is>
          <t>Asserting yourself : a practical guide for positive change / Sharon Anthony Bower, Gordon H. Bower.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Bower, Sharon Anthony, 1934-</t>
        </is>
      </c>
      <c r="L654" t="inlineStr">
        <is>
          <t>Reading, Mass. : Addison-Wesley Pub. Co., c1976.</t>
        </is>
      </c>
      <c r="M654" t="inlineStr">
        <is>
          <t>1976</t>
        </is>
      </c>
      <c r="O654" t="inlineStr">
        <is>
          <t>eng</t>
        </is>
      </c>
      <c r="P654" t="inlineStr">
        <is>
          <t>mau</t>
        </is>
      </c>
      <c r="R654" t="inlineStr">
        <is>
          <t xml:space="preserve">BF </t>
        </is>
      </c>
      <c r="S654" t="n">
        <v>6</v>
      </c>
      <c r="T654" t="n">
        <v>6</v>
      </c>
      <c r="U654" t="inlineStr">
        <is>
          <t>1994-09-27</t>
        </is>
      </c>
      <c r="V654" t="inlineStr">
        <is>
          <t>1994-09-27</t>
        </is>
      </c>
      <c r="W654" t="inlineStr">
        <is>
          <t>1992-07-08</t>
        </is>
      </c>
      <c r="X654" t="inlineStr">
        <is>
          <t>1992-07-08</t>
        </is>
      </c>
      <c r="Y654" t="n">
        <v>636</v>
      </c>
      <c r="Z654" t="n">
        <v>536</v>
      </c>
      <c r="AA654" t="n">
        <v>810</v>
      </c>
      <c r="AB654" t="n">
        <v>3</v>
      </c>
      <c r="AC654" t="n">
        <v>4</v>
      </c>
      <c r="AD654" t="n">
        <v>10</v>
      </c>
      <c r="AE654" t="n">
        <v>14</v>
      </c>
      <c r="AF654" t="n">
        <v>1</v>
      </c>
      <c r="AG654" t="n">
        <v>2</v>
      </c>
      <c r="AH654" t="n">
        <v>2</v>
      </c>
      <c r="AI654" t="n">
        <v>3</v>
      </c>
      <c r="AJ654" t="n">
        <v>6</v>
      </c>
      <c r="AK654" t="n">
        <v>7</v>
      </c>
      <c r="AL654" t="n">
        <v>2</v>
      </c>
      <c r="AM654" t="n">
        <v>3</v>
      </c>
      <c r="AN654" t="n">
        <v>0</v>
      </c>
      <c r="AO654" t="n">
        <v>0</v>
      </c>
      <c r="AP654" t="inlineStr">
        <is>
          <t>No</t>
        </is>
      </c>
      <c r="AQ654" t="inlineStr">
        <is>
          <t>Yes</t>
        </is>
      </c>
      <c r="AR654">
        <f>HYPERLINK("http://catalog.hathitrust.org/Record/004934142","HathiTrust Record")</f>
        <v/>
      </c>
      <c r="AS654">
        <f>HYPERLINK("https://creighton-primo.hosted.exlibrisgroup.com/primo-explore/search?tab=default_tab&amp;search_scope=EVERYTHING&amp;vid=01CRU&amp;lang=en_US&amp;offset=0&amp;query=any,contains,991004064969702656","Catalog Record")</f>
        <v/>
      </c>
      <c r="AT654">
        <f>HYPERLINK("http://www.worldcat.org/oclc/2283756","WorldCat Record")</f>
        <v/>
      </c>
      <c r="AU654" t="inlineStr">
        <is>
          <t>4600126:eng</t>
        </is>
      </c>
      <c r="AV654" t="inlineStr">
        <is>
          <t>2283756</t>
        </is>
      </c>
      <c r="AW654" t="inlineStr">
        <is>
          <t>991004064969702656</t>
        </is>
      </c>
      <c r="AX654" t="inlineStr">
        <is>
          <t>991004064969702656</t>
        </is>
      </c>
      <c r="AY654" t="inlineStr">
        <is>
          <t>2266976090002656</t>
        </is>
      </c>
      <c r="AZ654" t="inlineStr">
        <is>
          <t>BOOK</t>
        </is>
      </c>
      <c r="BB654" t="inlineStr">
        <is>
          <t>9780201008371</t>
        </is>
      </c>
      <c r="BC654" t="inlineStr">
        <is>
          <t>32285001187128</t>
        </is>
      </c>
      <c r="BD654" t="inlineStr">
        <is>
          <t>893900757</t>
        </is>
      </c>
    </row>
    <row r="655">
      <c r="A655" t="inlineStr">
        <is>
          <t>No</t>
        </is>
      </c>
      <c r="B655" t="inlineStr">
        <is>
          <t>BF575.A85 D38</t>
        </is>
      </c>
      <c r="C655" t="inlineStr">
        <is>
          <t>0                      BF 0575000A  85                 D  38</t>
        </is>
      </c>
      <c r="D655" t="inlineStr">
        <is>
          <t>Achieving assertive behavior : a guide to assertive training / Harold H. Dawley, Jr., W. W. Wenrich.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Dawley, Harold H., 1940-</t>
        </is>
      </c>
      <c r="L655" t="inlineStr">
        <is>
          <t>Monterey, Calif. : Brooks/Cole Pub. Co., c1976.</t>
        </is>
      </c>
      <c r="M655" t="inlineStr">
        <is>
          <t>1976</t>
        </is>
      </c>
      <c r="O655" t="inlineStr">
        <is>
          <t>eng</t>
        </is>
      </c>
      <c r="P655" t="inlineStr">
        <is>
          <t>cau</t>
        </is>
      </c>
      <c r="R655" t="inlineStr">
        <is>
          <t xml:space="preserve">BF </t>
        </is>
      </c>
      <c r="S655" t="n">
        <v>12</v>
      </c>
      <c r="T655" t="n">
        <v>12</v>
      </c>
      <c r="U655" t="inlineStr">
        <is>
          <t>2010-11-04</t>
        </is>
      </c>
      <c r="V655" t="inlineStr">
        <is>
          <t>2010-11-04</t>
        </is>
      </c>
      <c r="W655" t="inlineStr">
        <is>
          <t>1992-07-08</t>
        </is>
      </c>
      <c r="X655" t="inlineStr">
        <is>
          <t>1992-07-08</t>
        </is>
      </c>
      <c r="Y655" t="n">
        <v>143</v>
      </c>
      <c r="Z655" t="n">
        <v>109</v>
      </c>
      <c r="AA655" t="n">
        <v>110</v>
      </c>
      <c r="AB655" t="n">
        <v>2</v>
      </c>
      <c r="AC655" t="n">
        <v>2</v>
      </c>
      <c r="AD655" t="n">
        <v>6</v>
      </c>
      <c r="AE655" t="n">
        <v>6</v>
      </c>
      <c r="AF655" t="n">
        <v>3</v>
      </c>
      <c r="AG655" t="n">
        <v>3</v>
      </c>
      <c r="AH655" t="n">
        <v>1</v>
      </c>
      <c r="AI655" t="n">
        <v>1</v>
      </c>
      <c r="AJ655" t="n">
        <v>4</v>
      </c>
      <c r="AK655" t="n">
        <v>4</v>
      </c>
      <c r="AL655" t="n">
        <v>1</v>
      </c>
      <c r="AM655" t="n">
        <v>1</v>
      </c>
      <c r="AN655" t="n">
        <v>0</v>
      </c>
      <c r="AO655" t="n">
        <v>0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HYPERLINK("http://catalog.hathitrust.org/Record/007113919","HathiTrust Record")</f>
        <v/>
      </c>
      <c r="AS655">
        <f>HYPERLINK("https://creighton-primo.hosted.exlibrisgroup.com/primo-explore/search?tab=default_tab&amp;search_scope=EVERYTHING&amp;vid=01CRU&amp;lang=en_US&amp;offset=0&amp;query=any,contains,991004214659702656","Catalog Record")</f>
        <v/>
      </c>
      <c r="AT655">
        <f>HYPERLINK("http://www.worldcat.org/oclc/2694892","WorldCat Record")</f>
        <v/>
      </c>
      <c r="AU655" t="inlineStr">
        <is>
          <t>5963313:eng</t>
        </is>
      </c>
      <c r="AV655" t="inlineStr">
        <is>
          <t>2694892</t>
        </is>
      </c>
      <c r="AW655" t="inlineStr">
        <is>
          <t>991004214659702656</t>
        </is>
      </c>
      <c r="AX655" t="inlineStr">
        <is>
          <t>991004214659702656</t>
        </is>
      </c>
      <c r="AY655" t="inlineStr">
        <is>
          <t>2265033660002656</t>
        </is>
      </c>
      <c r="AZ655" t="inlineStr">
        <is>
          <t>BOOK</t>
        </is>
      </c>
      <c r="BB655" t="inlineStr">
        <is>
          <t>9780818501852</t>
        </is>
      </c>
      <c r="BC655" t="inlineStr">
        <is>
          <t>32285001187136</t>
        </is>
      </c>
      <c r="BD655" t="inlineStr">
        <is>
          <t>893353289</t>
        </is>
      </c>
    </row>
    <row r="656">
      <c r="A656" t="inlineStr">
        <is>
          <t>No</t>
        </is>
      </c>
      <c r="B656" t="inlineStr">
        <is>
          <t>BF575.A85 J34</t>
        </is>
      </c>
      <c r="C656" t="inlineStr">
        <is>
          <t>0                      BF 0575000A  85                 J  34</t>
        </is>
      </c>
      <c r="D656" t="inlineStr">
        <is>
          <t>The assertive option : your rights &amp; responsibilities / Patricia Jakubowski, Arthur J. Lange.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Jakubowski, Patricia.</t>
        </is>
      </c>
      <c r="L656" t="inlineStr">
        <is>
          <t>Champaign, Ill. : Research Press Co., c1978, 1979 printing.</t>
        </is>
      </c>
      <c r="M656" t="inlineStr">
        <is>
          <t>1978</t>
        </is>
      </c>
      <c r="O656" t="inlineStr">
        <is>
          <t>eng</t>
        </is>
      </c>
      <c r="P656" t="inlineStr">
        <is>
          <t>ilu</t>
        </is>
      </c>
      <c r="R656" t="inlineStr">
        <is>
          <t xml:space="preserve">BF </t>
        </is>
      </c>
      <c r="S656" t="n">
        <v>6</v>
      </c>
      <c r="T656" t="n">
        <v>6</v>
      </c>
      <c r="U656" t="inlineStr">
        <is>
          <t>1994-10-18</t>
        </is>
      </c>
      <c r="V656" t="inlineStr">
        <is>
          <t>1994-10-18</t>
        </is>
      </c>
      <c r="W656" t="inlineStr">
        <is>
          <t>1992-05-06</t>
        </is>
      </c>
      <c r="X656" t="inlineStr">
        <is>
          <t>1992-05-06</t>
        </is>
      </c>
      <c r="Y656" t="n">
        <v>589</v>
      </c>
      <c r="Z656" t="n">
        <v>499</v>
      </c>
      <c r="AA656" t="n">
        <v>505</v>
      </c>
      <c r="AB656" t="n">
        <v>8</v>
      </c>
      <c r="AC656" t="n">
        <v>8</v>
      </c>
      <c r="AD656" t="n">
        <v>22</v>
      </c>
      <c r="AE656" t="n">
        <v>22</v>
      </c>
      <c r="AF656" t="n">
        <v>10</v>
      </c>
      <c r="AG656" t="n">
        <v>10</v>
      </c>
      <c r="AH656" t="n">
        <v>2</v>
      </c>
      <c r="AI656" t="n">
        <v>2</v>
      </c>
      <c r="AJ656" t="n">
        <v>9</v>
      </c>
      <c r="AK656" t="n">
        <v>9</v>
      </c>
      <c r="AL656" t="n">
        <v>5</v>
      </c>
      <c r="AM656" t="n">
        <v>5</v>
      </c>
      <c r="AN656" t="n">
        <v>1</v>
      </c>
      <c r="AO656" t="n">
        <v>1</v>
      </c>
      <c r="AP656" t="inlineStr">
        <is>
          <t>No</t>
        </is>
      </c>
      <c r="AQ656" t="inlineStr">
        <is>
          <t>Yes</t>
        </is>
      </c>
      <c r="AR656">
        <f>HYPERLINK("http://catalog.hathitrust.org/Record/009132080","HathiTrust Record")</f>
        <v/>
      </c>
      <c r="AS656">
        <f>HYPERLINK("https://creighton-primo.hosted.exlibrisgroup.com/primo-explore/search?tab=default_tab&amp;search_scope=EVERYTHING&amp;vid=01CRU&amp;lang=en_US&amp;offset=0&amp;query=any,contains,991004727099702656","Catalog Record")</f>
        <v/>
      </c>
      <c r="AT656">
        <f>HYPERLINK("http://www.worldcat.org/oclc/4820931","WorldCat Record")</f>
        <v/>
      </c>
      <c r="AU656" t="inlineStr">
        <is>
          <t>866237124:eng</t>
        </is>
      </c>
      <c r="AV656" t="inlineStr">
        <is>
          <t>4820931</t>
        </is>
      </c>
      <c r="AW656" t="inlineStr">
        <is>
          <t>991004727099702656</t>
        </is>
      </c>
      <c r="AX656" t="inlineStr">
        <is>
          <t>991004727099702656</t>
        </is>
      </c>
      <c r="AY656" t="inlineStr">
        <is>
          <t>2266470400002656</t>
        </is>
      </c>
      <c r="AZ656" t="inlineStr">
        <is>
          <t>BOOK</t>
        </is>
      </c>
      <c r="BB656" t="inlineStr">
        <is>
          <t>9780878221929</t>
        </is>
      </c>
      <c r="BC656" t="inlineStr">
        <is>
          <t>32285001120376</t>
        </is>
      </c>
      <c r="BD656" t="inlineStr">
        <is>
          <t>893712950</t>
        </is>
      </c>
    </row>
    <row r="657">
      <c r="A657" t="inlineStr">
        <is>
          <t>No</t>
        </is>
      </c>
      <c r="B657" t="inlineStr">
        <is>
          <t>BF575.A86 P55 1982</t>
        </is>
      </c>
      <c r="C657" t="inlineStr">
        <is>
          <t>0                      BF 0575000A  86                 P  55          1982</t>
        </is>
      </c>
      <c r="D657" t="inlineStr">
        <is>
          <t>The Place of attachment in human behavior / edited by Colin Murray Parkes and Joan Stevenson-Hinde.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L657" t="inlineStr">
        <is>
          <t>New York : Basic Books, c1982.</t>
        </is>
      </c>
      <c r="M657" t="inlineStr">
        <is>
          <t>1982</t>
        </is>
      </c>
      <c r="O657" t="inlineStr">
        <is>
          <t>eng</t>
        </is>
      </c>
      <c r="P657" t="inlineStr">
        <is>
          <t>nyu</t>
        </is>
      </c>
      <c r="R657" t="inlineStr">
        <is>
          <t xml:space="preserve">BF </t>
        </is>
      </c>
      <c r="S657" t="n">
        <v>6</v>
      </c>
      <c r="T657" t="n">
        <v>6</v>
      </c>
      <c r="U657" t="inlineStr">
        <is>
          <t>2001-10-19</t>
        </is>
      </c>
      <c r="V657" t="inlineStr">
        <is>
          <t>2001-10-19</t>
        </is>
      </c>
      <c r="W657" t="inlineStr">
        <is>
          <t>1990-03-27</t>
        </is>
      </c>
      <c r="X657" t="inlineStr">
        <is>
          <t>1990-03-27</t>
        </is>
      </c>
      <c r="Y657" t="n">
        <v>631</v>
      </c>
      <c r="Z657" t="n">
        <v>552</v>
      </c>
      <c r="AA657" t="n">
        <v>572</v>
      </c>
      <c r="AB657" t="n">
        <v>4</v>
      </c>
      <c r="AC657" t="n">
        <v>4</v>
      </c>
      <c r="AD657" t="n">
        <v>21</v>
      </c>
      <c r="AE657" t="n">
        <v>21</v>
      </c>
      <c r="AF657" t="n">
        <v>8</v>
      </c>
      <c r="AG657" t="n">
        <v>8</v>
      </c>
      <c r="AH657" t="n">
        <v>6</v>
      </c>
      <c r="AI657" t="n">
        <v>6</v>
      </c>
      <c r="AJ657" t="n">
        <v>9</v>
      </c>
      <c r="AK657" t="n">
        <v>9</v>
      </c>
      <c r="AL657" t="n">
        <v>3</v>
      </c>
      <c r="AM657" t="n">
        <v>3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HYPERLINK("http://catalog.hathitrust.org/Record/000764077","HathiTrust Record")</f>
        <v/>
      </c>
      <c r="AS657">
        <f>HYPERLINK("https://creighton-primo.hosted.exlibrisgroup.com/primo-explore/search?tab=default_tab&amp;search_scope=EVERYTHING&amp;vid=01CRU&amp;lang=en_US&amp;offset=0&amp;query=any,contains,991005204349702656","Catalog Record")</f>
        <v/>
      </c>
      <c r="AT657">
        <f>HYPERLINK("http://www.worldcat.org/oclc/8111510","WorldCat Record")</f>
        <v/>
      </c>
      <c r="AU657" t="inlineStr">
        <is>
          <t>350408510:eng</t>
        </is>
      </c>
      <c r="AV657" t="inlineStr">
        <is>
          <t>8111510</t>
        </is>
      </c>
      <c r="AW657" t="inlineStr">
        <is>
          <t>991005204349702656</t>
        </is>
      </c>
      <c r="AX657" t="inlineStr">
        <is>
          <t>991005204349702656</t>
        </is>
      </c>
      <c r="AY657" t="inlineStr">
        <is>
          <t>2256959190002656</t>
        </is>
      </c>
      <c r="AZ657" t="inlineStr">
        <is>
          <t>BOOK</t>
        </is>
      </c>
      <c r="BB657" t="inlineStr">
        <is>
          <t>9780465057719</t>
        </is>
      </c>
      <c r="BC657" t="inlineStr">
        <is>
          <t>32285000097922</t>
        </is>
      </c>
      <c r="BD657" t="inlineStr">
        <is>
          <t>893443580</t>
        </is>
      </c>
    </row>
    <row r="658">
      <c r="A658" t="inlineStr">
        <is>
          <t>No</t>
        </is>
      </c>
      <c r="B658" t="inlineStr">
        <is>
          <t>BF575.A88 D42</t>
        </is>
      </c>
      <c r="C658" t="inlineStr">
        <is>
          <t>0                      BF 0575000A  88                 D  42</t>
        </is>
      </c>
      <c r="D658" t="inlineStr">
        <is>
          <t>The psychology of self-determination / Edward L. Deci.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Deci, Edward L.</t>
        </is>
      </c>
      <c r="L658" t="inlineStr">
        <is>
          <t>Lexington, Mass. : Lexington Books, c1980.</t>
        </is>
      </c>
      <c r="M658" t="inlineStr">
        <is>
          <t>1980</t>
        </is>
      </c>
      <c r="O658" t="inlineStr">
        <is>
          <t>eng</t>
        </is>
      </c>
      <c r="P658" t="inlineStr">
        <is>
          <t>mau</t>
        </is>
      </c>
      <c r="R658" t="inlineStr">
        <is>
          <t xml:space="preserve">BF </t>
        </is>
      </c>
      <c r="S658" t="n">
        <v>4</v>
      </c>
      <c r="T658" t="n">
        <v>4</v>
      </c>
      <c r="U658" t="inlineStr">
        <is>
          <t>1997-07-12</t>
        </is>
      </c>
      <c r="V658" t="inlineStr">
        <is>
          <t>1997-07-12</t>
        </is>
      </c>
      <c r="W658" t="inlineStr">
        <is>
          <t>1990-03-22</t>
        </is>
      </c>
      <c r="X658" t="inlineStr">
        <is>
          <t>1990-03-22</t>
        </is>
      </c>
      <c r="Y658" t="n">
        <v>604</v>
      </c>
      <c r="Z658" t="n">
        <v>514</v>
      </c>
      <c r="AA658" t="n">
        <v>522</v>
      </c>
      <c r="AB658" t="n">
        <v>4</v>
      </c>
      <c r="AC658" t="n">
        <v>4</v>
      </c>
      <c r="AD658" t="n">
        <v>25</v>
      </c>
      <c r="AE658" t="n">
        <v>25</v>
      </c>
      <c r="AF658" t="n">
        <v>10</v>
      </c>
      <c r="AG658" t="n">
        <v>10</v>
      </c>
      <c r="AH658" t="n">
        <v>7</v>
      </c>
      <c r="AI658" t="n">
        <v>7</v>
      </c>
      <c r="AJ658" t="n">
        <v>12</v>
      </c>
      <c r="AK658" t="n">
        <v>12</v>
      </c>
      <c r="AL658" t="n">
        <v>3</v>
      </c>
      <c r="AM658" t="n">
        <v>3</v>
      </c>
      <c r="AN658" t="n">
        <v>0</v>
      </c>
      <c r="AO658" t="n">
        <v>0</v>
      </c>
      <c r="AP658" t="inlineStr">
        <is>
          <t>No</t>
        </is>
      </c>
      <c r="AQ658" t="inlineStr">
        <is>
          <t>Yes</t>
        </is>
      </c>
      <c r="AR658">
        <f>HYPERLINK("http://catalog.hathitrust.org/Record/000083063","HathiTrust Record")</f>
        <v/>
      </c>
      <c r="AS658">
        <f>HYPERLINK("https://creighton-primo.hosted.exlibrisgroup.com/primo-explore/search?tab=default_tab&amp;search_scope=EVERYTHING&amp;vid=01CRU&amp;lang=en_US&amp;offset=0&amp;query=any,contains,991005011369702656","Catalog Record")</f>
        <v/>
      </c>
      <c r="AT658">
        <f>HYPERLINK("http://www.worldcat.org/oclc/6602988","WorldCat Record")</f>
        <v/>
      </c>
      <c r="AU658" t="inlineStr">
        <is>
          <t>181257:eng</t>
        </is>
      </c>
      <c r="AV658" t="inlineStr">
        <is>
          <t>6602988</t>
        </is>
      </c>
      <c r="AW658" t="inlineStr">
        <is>
          <t>991005011369702656</t>
        </is>
      </c>
      <c r="AX658" t="inlineStr">
        <is>
          <t>991005011369702656</t>
        </is>
      </c>
      <c r="AY658" t="inlineStr">
        <is>
          <t>2255697570002656</t>
        </is>
      </c>
      <c r="AZ658" t="inlineStr">
        <is>
          <t>BOOK</t>
        </is>
      </c>
      <c r="BB658" t="inlineStr">
        <is>
          <t>9780669040456</t>
        </is>
      </c>
      <c r="BC658" t="inlineStr">
        <is>
          <t>32285000089770</t>
        </is>
      </c>
      <c r="BD658" t="inlineStr">
        <is>
          <t>893254322</t>
        </is>
      </c>
    </row>
    <row r="659">
      <c r="A659" t="inlineStr">
        <is>
          <t>No</t>
        </is>
      </c>
      <c r="B659" t="inlineStr">
        <is>
          <t>BF575.A88 H38 1986</t>
        </is>
      </c>
      <c r="C659" t="inlineStr">
        <is>
          <t>0                      BF 0575000A  88                 H  38          1986</t>
        </is>
      </c>
      <c r="D659" t="inlineStr">
        <is>
          <t>Autonomy : an essay in philosophical psychology and ethics / Lawrence Haworth.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Haworth, Lawrence, 1926-</t>
        </is>
      </c>
      <c r="L659" t="inlineStr">
        <is>
          <t>New Haven : Yale University Press, c1986.</t>
        </is>
      </c>
      <c r="M659" t="inlineStr">
        <is>
          <t>1986</t>
        </is>
      </c>
      <c r="O659" t="inlineStr">
        <is>
          <t>eng</t>
        </is>
      </c>
      <c r="P659" t="inlineStr">
        <is>
          <t>ctu</t>
        </is>
      </c>
      <c r="R659" t="inlineStr">
        <is>
          <t xml:space="preserve">BF </t>
        </is>
      </c>
      <c r="S659" t="n">
        <v>3</v>
      </c>
      <c r="T659" t="n">
        <v>3</v>
      </c>
      <c r="U659" t="inlineStr">
        <is>
          <t>2009-04-14</t>
        </is>
      </c>
      <c r="V659" t="inlineStr">
        <is>
          <t>2009-04-14</t>
        </is>
      </c>
      <c r="W659" t="inlineStr">
        <is>
          <t>1990-06-28</t>
        </is>
      </c>
      <c r="X659" t="inlineStr">
        <is>
          <t>1990-06-28</t>
        </is>
      </c>
      <c r="Y659" t="n">
        <v>532</v>
      </c>
      <c r="Z659" t="n">
        <v>432</v>
      </c>
      <c r="AA659" t="n">
        <v>589</v>
      </c>
      <c r="AB659" t="n">
        <v>3</v>
      </c>
      <c r="AC659" t="n">
        <v>3</v>
      </c>
      <c r="AD659" t="n">
        <v>22</v>
      </c>
      <c r="AE659" t="n">
        <v>28</v>
      </c>
      <c r="AF659" t="n">
        <v>7</v>
      </c>
      <c r="AG659" t="n">
        <v>11</v>
      </c>
      <c r="AH659" t="n">
        <v>5</v>
      </c>
      <c r="AI659" t="n">
        <v>8</v>
      </c>
      <c r="AJ659" t="n">
        <v>14</v>
      </c>
      <c r="AK659" t="n">
        <v>16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No</t>
        </is>
      </c>
      <c r="AS659">
        <f>HYPERLINK("https://creighton-primo.hosted.exlibrisgroup.com/primo-explore/search?tab=default_tab&amp;search_scope=EVERYTHING&amp;vid=01CRU&amp;lang=en_US&amp;offset=0&amp;query=any,contains,991000752859702656","Catalog Record")</f>
        <v/>
      </c>
      <c r="AT659">
        <f>HYPERLINK("http://www.worldcat.org/oclc/12943444","WorldCat Record")</f>
        <v/>
      </c>
      <c r="AU659" t="inlineStr">
        <is>
          <t>836685094:eng</t>
        </is>
      </c>
      <c r="AV659" t="inlineStr">
        <is>
          <t>12943444</t>
        </is>
      </c>
      <c r="AW659" t="inlineStr">
        <is>
          <t>991000752859702656</t>
        </is>
      </c>
      <c r="AX659" t="inlineStr">
        <is>
          <t>991000752859702656</t>
        </is>
      </c>
      <c r="AY659" t="inlineStr">
        <is>
          <t>2271827620002656</t>
        </is>
      </c>
      <c r="AZ659" t="inlineStr">
        <is>
          <t>BOOK</t>
        </is>
      </c>
      <c r="BB659" t="inlineStr">
        <is>
          <t>9780300035698</t>
        </is>
      </c>
      <c r="BC659" t="inlineStr">
        <is>
          <t>32285000205905</t>
        </is>
      </c>
      <c r="BD659" t="inlineStr">
        <is>
          <t>893432262</t>
        </is>
      </c>
    </row>
    <row r="660">
      <c r="A660" t="inlineStr">
        <is>
          <t>No</t>
        </is>
      </c>
      <c r="B660" t="inlineStr">
        <is>
          <t>BF575.A88 M39 1981</t>
        </is>
      </c>
      <c r="C660" t="inlineStr">
        <is>
          <t>0                      BF 0575000A  88                 M  39          1981</t>
        </is>
      </c>
      <c r="D660" t="inlineStr">
        <is>
          <t>Freedom and destiny / by Rollo May.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K660" t="inlineStr">
        <is>
          <t>May, Rollo.</t>
        </is>
      </c>
      <c r="L660" t="inlineStr">
        <is>
          <t>New York : Norton, c1981.</t>
        </is>
      </c>
      <c r="M660" t="inlineStr">
        <is>
          <t>1981</t>
        </is>
      </c>
      <c r="N660" t="inlineStr">
        <is>
          <t>1st ed.</t>
        </is>
      </c>
      <c r="O660" t="inlineStr">
        <is>
          <t>eng</t>
        </is>
      </c>
      <c r="P660" t="inlineStr">
        <is>
          <t>nyu</t>
        </is>
      </c>
      <c r="R660" t="inlineStr">
        <is>
          <t xml:space="preserve">BF </t>
        </is>
      </c>
      <c r="S660" t="n">
        <v>10</v>
      </c>
      <c r="T660" t="n">
        <v>10</v>
      </c>
      <c r="U660" t="inlineStr">
        <is>
          <t>2006-10-06</t>
        </is>
      </c>
      <c r="V660" t="inlineStr">
        <is>
          <t>2006-10-06</t>
        </is>
      </c>
      <c r="W660" t="inlineStr">
        <is>
          <t>1990-03-27</t>
        </is>
      </c>
      <c r="X660" t="inlineStr">
        <is>
          <t>1990-03-27</t>
        </is>
      </c>
      <c r="Y660" t="n">
        <v>1196</v>
      </c>
      <c r="Z660" t="n">
        <v>1096</v>
      </c>
      <c r="AA660" t="n">
        <v>1256</v>
      </c>
      <c r="AB660" t="n">
        <v>5</v>
      </c>
      <c r="AC660" t="n">
        <v>5</v>
      </c>
      <c r="AD660" t="n">
        <v>29</v>
      </c>
      <c r="AE660" t="n">
        <v>31</v>
      </c>
      <c r="AF660" t="n">
        <v>16</v>
      </c>
      <c r="AG660" t="n">
        <v>16</v>
      </c>
      <c r="AH660" t="n">
        <v>8</v>
      </c>
      <c r="AI660" t="n">
        <v>8</v>
      </c>
      <c r="AJ660" t="n">
        <v>14</v>
      </c>
      <c r="AK660" t="n">
        <v>16</v>
      </c>
      <c r="AL660" t="n">
        <v>1</v>
      </c>
      <c r="AM660" t="n">
        <v>1</v>
      </c>
      <c r="AN660" t="n">
        <v>0</v>
      </c>
      <c r="AO660" t="n">
        <v>0</v>
      </c>
      <c r="AP660" t="inlineStr">
        <is>
          <t>No</t>
        </is>
      </c>
      <c r="AQ660" t="inlineStr">
        <is>
          <t>No</t>
        </is>
      </c>
      <c r="AS660">
        <f>HYPERLINK("https://creighton-primo.hosted.exlibrisgroup.com/primo-explore/search?tab=default_tab&amp;search_scope=EVERYTHING&amp;vid=01CRU&amp;lang=en_US&amp;offset=0&amp;query=any,contains,991005116169702656","Catalog Record")</f>
        <v/>
      </c>
      <c r="AT660">
        <f>HYPERLINK("http://www.worldcat.org/oclc/7462627","WorldCat Record")</f>
        <v/>
      </c>
      <c r="AU660" t="inlineStr">
        <is>
          <t>459818:eng</t>
        </is>
      </c>
      <c r="AV660" t="inlineStr">
        <is>
          <t>7462627</t>
        </is>
      </c>
      <c r="AW660" t="inlineStr">
        <is>
          <t>991005116169702656</t>
        </is>
      </c>
      <c r="AX660" t="inlineStr">
        <is>
          <t>991005116169702656</t>
        </is>
      </c>
      <c r="AY660" t="inlineStr">
        <is>
          <t>2262881300002656</t>
        </is>
      </c>
      <c r="AZ660" t="inlineStr">
        <is>
          <t>BOOK</t>
        </is>
      </c>
      <c r="BB660" t="inlineStr">
        <is>
          <t>9780393014778</t>
        </is>
      </c>
      <c r="BC660" t="inlineStr">
        <is>
          <t>32285000097930</t>
        </is>
      </c>
      <c r="BD660" t="inlineStr">
        <is>
          <t>893443425</t>
        </is>
      </c>
    </row>
    <row r="661">
      <c r="A661" t="inlineStr">
        <is>
          <t>No</t>
        </is>
      </c>
      <c r="B661" t="inlineStr">
        <is>
          <t>BF575.D34 S33 1987</t>
        </is>
      </c>
      <c r="C661" t="inlineStr">
        <is>
          <t>0                      BF 0575000D  34                 S  33          1987</t>
        </is>
      </c>
      <c r="D661" t="inlineStr">
        <is>
          <t>When society becomes an addict / Anne Wilson Schaef.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Schaef, Anne Wilson.</t>
        </is>
      </c>
      <c r="L661" t="inlineStr">
        <is>
          <t>San Francisco : Harper &amp; Row, c1987.</t>
        </is>
      </c>
      <c r="M661" t="inlineStr">
        <is>
          <t>1987</t>
        </is>
      </c>
      <c r="N661" t="inlineStr">
        <is>
          <t>1st ed.</t>
        </is>
      </c>
      <c r="O661" t="inlineStr">
        <is>
          <t>eng</t>
        </is>
      </c>
      <c r="P661" t="inlineStr">
        <is>
          <t>cau</t>
        </is>
      </c>
      <c r="R661" t="inlineStr">
        <is>
          <t xml:space="preserve">BF </t>
        </is>
      </c>
      <c r="S661" t="n">
        <v>8</v>
      </c>
      <c r="T661" t="n">
        <v>8</v>
      </c>
      <c r="U661" t="inlineStr">
        <is>
          <t>1995-07-25</t>
        </is>
      </c>
      <c r="V661" t="inlineStr">
        <is>
          <t>1995-07-25</t>
        </is>
      </c>
      <c r="W661" t="inlineStr">
        <is>
          <t>1990-07-26</t>
        </is>
      </c>
      <c r="X661" t="inlineStr">
        <is>
          <t>1990-07-26</t>
        </is>
      </c>
      <c r="Y661" t="n">
        <v>911</v>
      </c>
      <c r="Z661" t="n">
        <v>824</v>
      </c>
      <c r="AA661" t="n">
        <v>971</v>
      </c>
      <c r="AB661" t="n">
        <v>10</v>
      </c>
      <c r="AC661" t="n">
        <v>10</v>
      </c>
      <c r="AD661" t="n">
        <v>23</v>
      </c>
      <c r="AE661" t="n">
        <v>27</v>
      </c>
      <c r="AF661" t="n">
        <v>7</v>
      </c>
      <c r="AG661" t="n">
        <v>8</v>
      </c>
      <c r="AH661" t="n">
        <v>2</v>
      </c>
      <c r="AI661" t="n">
        <v>3</v>
      </c>
      <c r="AJ661" t="n">
        <v>11</v>
      </c>
      <c r="AK661" t="n">
        <v>13</v>
      </c>
      <c r="AL661" t="n">
        <v>7</v>
      </c>
      <c r="AM661" t="n">
        <v>7</v>
      </c>
      <c r="AN661" t="n">
        <v>1</v>
      </c>
      <c r="AO661" t="n">
        <v>1</v>
      </c>
      <c r="AP661" t="inlineStr">
        <is>
          <t>No</t>
        </is>
      </c>
      <c r="AQ661" t="inlineStr">
        <is>
          <t>Yes</t>
        </is>
      </c>
      <c r="AR661">
        <f>HYPERLINK("http://catalog.hathitrust.org/Record/000811893","HathiTrust Record")</f>
        <v/>
      </c>
      <c r="AS661">
        <f>HYPERLINK("https://creighton-primo.hosted.exlibrisgroup.com/primo-explore/search?tab=default_tab&amp;search_scope=EVERYTHING&amp;vid=01CRU&amp;lang=en_US&amp;offset=0&amp;query=any,contains,991000955589702656","Catalog Record")</f>
        <v/>
      </c>
      <c r="AT661">
        <f>HYPERLINK("http://www.worldcat.org/oclc/14717592","WorldCat Record")</f>
        <v/>
      </c>
      <c r="AU661" t="inlineStr">
        <is>
          <t>2533924:eng</t>
        </is>
      </c>
      <c r="AV661" t="inlineStr">
        <is>
          <t>14717592</t>
        </is>
      </c>
      <c r="AW661" t="inlineStr">
        <is>
          <t>991000955589702656</t>
        </is>
      </c>
      <c r="AX661" t="inlineStr">
        <is>
          <t>991000955589702656</t>
        </is>
      </c>
      <c r="AY661" t="inlineStr">
        <is>
          <t>2256766560002656</t>
        </is>
      </c>
      <c r="AZ661" t="inlineStr">
        <is>
          <t>BOOK</t>
        </is>
      </c>
      <c r="BB661" t="inlineStr">
        <is>
          <t>9780062548122</t>
        </is>
      </c>
      <c r="BC661" t="inlineStr">
        <is>
          <t>32285000248293</t>
        </is>
      </c>
      <c r="BD661" t="inlineStr">
        <is>
          <t>893803219</t>
        </is>
      </c>
    </row>
    <row r="662">
      <c r="A662" t="inlineStr">
        <is>
          <t>No</t>
        </is>
      </c>
      <c r="B662" t="inlineStr">
        <is>
          <t>BF575.E55 K3</t>
        </is>
      </c>
      <c r="C662" t="inlineStr">
        <is>
          <t>0                      BF 0575000E  55                 K  3</t>
        </is>
      </c>
      <c r="D662" t="inlineStr">
        <is>
          <t>Empathy, its nature and uses.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Katz, Robert L.</t>
        </is>
      </c>
      <c r="L662" t="inlineStr">
        <is>
          <t>[New York] : Free Press of Glencoe, [1963]</t>
        </is>
      </c>
      <c r="M662" t="inlineStr">
        <is>
          <t>1963</t>
        </is>
      </c>
      <c r="O662" t="inlineStr">
        <is>
          <t>eng</t>
        </is>
      </c>
      <c r="P662" t="inlineStr">
        <is>
          <t>nyu</t>
        </is>
      </c>
      <c r="R662" t="inlineStr">
        <is>
          <t xml:space="preserve">BF </t>
        </is>
      </c>
      <c r="S662" t="n">
        <v>7</v>
      </c>
      <c r="T662" t="n">
        <v>7</v>
      </c>
      <c r="U662" t="inlineStr">
        <is>
          <t>1995-10-17</t>
        </is>
      </c>
      <c r="V662" t="inlineStr">
        <is>
          <t>1995-10-17</t>
        </is>
      </c>
      <c r="W662" t="inlineStr">
        <is>
          <t>1990-07-06</t>
        </is>
      </c>
      <c r="X662" t="inlineStr">
        <is>
          <t>1990-07-06</t>
        </is>
      </c>
      <c r="Y662" t="n">
        <v>590</v>
      </c>
      <c r="Z662" t="n">
        <v>508</v>
      </c>
      <c r="AA662" t="n">
        <v>522</v>
      </c>
      <c r="AB662" t="n">
        <v>5</v>
      </c>
      <c r="AC662" t="n">
        <v>5</v>
      </c>
      <c r="AD662" t="n">
        <v>23</v>
      </c>
      <c r="AE662" t="n">
        <v>23</v>
      </c>
      <c r="AF662" t="n">
        <v>6</v>
      </c>
      <c r="AG662" t="n">
        <v>6</v>
      </c>
      <c r="AH662" t="n">
        <v>6</v>
      </c>
      <c r="AI662" t="n">
        <v>6</v>
      </c>
      <c r="AJ662" t="n">
        <v>11</v>
      </c>
      <c r="AK662" t="n">
        <v>11</v>
      </c>
      <c r="AL662" t="n">
        <v>4</v>
      </c>
      <c r="AM662" t="n">
        <v>4</v>
      </c>
      <c r="AN662" t="n">
        <v>0</v>
      </c>
      <c r="AO662" t="n">
        <v>0</v>
      </c>
      <c r="AP662" t="inlineStr">
        <is>
          <t>No</t>
        </is>
      </c>
      <c r="AQ662" t="inlineStr">
        <is>
          <t>Yes</t>
        </is>
      </c>
      <c r="AR662">
        <f>HYPERLINK("http://catalog.hathitrust.org/Record/000360502","HathiTrust Record")</f>
        <v/>
      </c>
      <c r="AS662">
        <f>HYPERLINK("https://creighton-primo.hosted.exlibrisgroup.com/primo-explore/search?tab=default_tab&amp;search_scope=EVERYTHING&amp;vid=01CRU&amp;lang=en_US&amp;offset=0&amp;query=any,contains,991001232389702656","Catalog Record")</f>
        <v/>
      </c>
      <c r="AT662">
        <f>HYPERLINK("http://www.worldcat.org/oclc/204031","WorldCat Record")</f>
        <v/>
      </c>
      <c r="AU662" t="inlineStr">
        <is>
          <t>1261324:eng</t>
        </is>
      </c>
      <c r="AV662" t="inlineStr">
        <is>
          <t>204031</t>
        </is>
      </c>
      <c r="AW662" t="inlineStr">
        <is>
          <t>991001232389702656</t>
        </is>
      </c>
      <c r="AX662" t="inlineStr">
        <is>
          <t>991001232389702656</t>
        </is>
      </c>
      <c r="AY662" t="inlineStr">
        <is>
          <t>2256959290002656</t>
        </is>
      </c>
      <c r="AZ662" t="inlineStr">
        <is>
          <t>BOOK</t>
        </is>
      </c>
      <c r="BC662" t="inlineStr">
        <is>
          <t>32285000204163</t>
        </is>
      </c>
      <c r="BD662" t="inlineStr">
        <is>
          <t>893503224</t>
        </is>
      </c>
    </row>
    <row r="663">
      <c r="A663" t="inlineStr">
        <is>
          <t>No</t>
        </is>
      </c>
      <c r="B663" t="inlineStr">
        <is>
          <t>BF575.E55 S57</t>
        </is>
      </c>
      <c r="C663" t="inlineStr">
        <is>
          <t>0                      BF 0575000E  55                 S  57</t>
        </is>
      </c>
      <c r="D663" t="inlineStr">
        <is>
          <t>Sensitivity to people.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Smith, Henry Clay, 1913-2005.</t>
        </is>
      </c>
      <c r="L663" t="inlineStr">
        <is>
          <t>New York, McGraw-Hill [1966]</t>
        </is>
      </c>
      <c r="M663" t="inlineStr">
        <is>
          <t>1966</t>
        </is>
      </c>
      <c r="O663" t="inlineStr">
        <is>
          <t>eng</t>
        </is>
      </c>
      <c r="P663" t="inlineStr">
        <is>
          <t>nyu</t>
        </is>
      </c>
      <c r="R663" t="inlineStr">
        <is>
          <t xml:space="preserve">BF </t>
        </is>
      </c>
      <c r="S663" t="n">
        <v>1</v>
      </c>
      <c r="T663" t="n">
        <v>1</v>
      </c>
      <c r="U663" t="inlineStr">
        <is>
          <t>1995-10-17</t>
        </is>
      </c>
      <c r="V663" t="inlineStr">
        <is>
          <t>1995-10-17</t>
        </is>
      </c>
      <c r="W663" t="inlineStr">
        <is>
          <t>1992-07-08</t>
        </is>
      </c>
      <c r="X663" t="inlineStr">
        <is>
          <t>1992-07-08</t>
        </is>
      </c>
      <c r="Y663" t="n">
        <v>639</v>
      </c>
      <c r="Z663" t="n">
        <v>532</v>
      </c>
      <c r="AA663" t="n">
        <v>535</v>
      </c>
      <c r="AB663" t="n">
        <v>3</v>
      </c>
      <c r="AC663" t="n">
        <v>3</v>
      </c>
      <c r="AD663" t="n">
        <v>27</v>
      </c>
      <c r="AE663" t="n">
        <v>27</v>
      </c>
      <c r="AF663" t="n">
        <v>12</v>
      </c>
      <c r="AG663" t="n">
        <v>12</v>
      </c>
      <c r="AH663" t="n">
        <v>7</v>
      </c>
      <c r="AI663" t="n">
        <v>7</v>
      </c>
      <c r="AJ663" t="n">
        <v>13</v>
      </c>
      <c r="AK663" t="n">
        <v>13</v>
      </c>
      <c r="AL663" t="n">
        <v>2</v>
      </c>
      <c r="AM663" t="n">
        <v>2</v>
      </c>
      <c r="AN663" t="n">
        <v>0</v>
      </c>
      <c r="AO663" t="n">
        <v>0</v>
      </c>
      <c r="AP663" t="inlineStr">
        <is>
          <t>No</t>
        </is>
      </c>
      <c r="AQ663" t="inlineStr">
        <is>
          <t>Yes</t>
        </is>
      </c>
      <c r="AR663">
        <f>HYPERLINK("http://catalog.hathitrust.org/Record/000360505","HathiTrust Record")</f>
        <v/>
      </c>
      <c r="AS663">
        <f>HYPERLINK("https://creighton-primo.hosted.exlibrisgroup.com/primo-explore/search?tab=default_tab&amp;search_scope=EVERYTHING&amp;vid=01CRU&amp;lang=en_US&amp;offset=0&amp;query=any,contains,991001232539702656","Catalog Record")</f>
        <v/>
      </c>
      <c r="AT663">
        <f>HYPERLINK("http://www.worldcat.org/oclc/204065","WorldCat Record")</f>
        <v/>
      </c>
      <c r="AU663" t="inlineStr">
        <is>
          <t>117878412:eng</t>
        </is>
      </c>
      <c r="AV663" t="inlineStr">
        <is>
          <t>204065</t>
        </is>
      </c>
      <c r="AW663" t="inlineStr">
        <is>
          <t>991001232539702656</t>
        </is>
      </c>
      <c r="AX663" t="inlineStr">
        <is>
          <t>991001232539702656</t>
        </is>
      </c>
      <c r="AY663" t="inlineStr">
        <is>
          <t>2256942480002656</t>
        </is>
      </c>
      <c r="AZ663" t="inlineStr">
        <is>
          <t>BOOK</t>
        </is>
      </c>
      <c r="BC663" t="inlineStr">
        <is>
          <t>32285001187151</t>
        </is>
      </c>
      <c r="BD663" t="inlineStr">
        <is>
          <t>893250076</t>
        </is>
      </c>
    </row>
    <row r="664">
      <c r="A664" t="inlineStr">
        <is>
          <t>No</t>
        </is>
      </c>
      <c r="B664" t="inlineStr">
        <is>
          <t>BF575.E55 S73</t>
        </is>
      </c>
      <c r="C664" t="inlineStr">
        <is>
          <t>0                      BF 0575000E  55                 S  73</t>
        </is>
      </c>
      <c r="D664" t="inlineStr">
        <is>
          <t>On the problem of empathy. Translated by Waltraut Stein. With a foreword by Erwin W. Straus.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Yes</t>
        </is>
      </c>
      <c r="J664" t="inlineStr">
        <is>
          <t>0</t>
        </is>
      </c>
      <c r="K664" t="inlineStr">
        <is>
          <t>Stein, Edith, Saint, 1891-1942.</t>
        </is>
      </c>
      <c r="L664" t="inlineStr">
        <is>
          <t>The Hague, M. Nijhoff, 1964.</t>
        </is>
      </c>
      <c r="M664" t="inlineStr">
        <is>
          <t>1964</t>
        </is>
      </c>
      <c r="O664" t="inlineStr">
        <is>
          <t>eng</t>
        </is>
      </c>
      <c r="P664" t="inlineStr">
        <is>
          <t xml:space="preserve">ne </t>
        </is>
      </c>
      <c r="R664" t="inlineStr">
        <is>
          <t xml:space="preserve">BF </t>
        </is>
      </c>
      <c r="S664" t="n">
        <v>2</v>
      </c>
      <c r="T664" t="n">
        <v>2</v>
      </c>
      <c r="U664" t="inlineStr">
        <is>
          <t>2009-04-14</t>
        </is>
      </c>
      <c r="V664" t="inlineStr">
        <is>
          <t>2009-04-14</t>
        </is>
      </c>
      <c r="W664" t="inlineStr">
        <is>
          <t>1996-07-30</t>
        </is>
      </c>
      <c r="X664" t="inlineStr">
        <is>
          <t>1996-07-30</t>
        </is>
      </c>
      <c r="Y664" t="n">
        <v>308</v>
      </c>
      <c r="Z664" t="n">
        <v>247</v>
      </c>
      <c r="AA664" t="n">
        <v>510</v>
      </c>
      <c r="AB664" t="n">
        <v>1</v>
      </c>
      <c r="AC664" t="n">
        <v>3</v>
      </c>
      <c r="AD664" t="n">
        <v>21</v>
      </c>
      <c r="AE664" t="n">
        <v>39</v>
      </c>
      <c r="AF664" t="n">
        <v>8</v>
      </c>
      <c r="AG664" t="n">
        <v>15</v>
      </c>
      <c r="AH664" t="n">
        <v>4</v>
      </c>
      <c r="AI664" t="n">
        <v>9</v>
      </c>
      <c r="AJ664" t="n">
        <v>16</v>
      </c>
      <c r="AK664" t="n">
        <v>26</v>
      </c>
      <c r="AL664" t="n">
        <v>0</v>
      </c>
      <c r="AM664" t="n">
        <v>1</v>
      </c>
      <c r="AN664" t="n">
        <v>0</v>
      </c>
      <c r="AO664" t="n">
        <v>0</v>
      </c>
      <c r="AP664" t="inlineStr">
        <is>
          <t>No</t>
        </is>
      </c>
      <c r="AQ664" t="inlineStr">
        <is>
          <t>Yes</t>
        </is>
      </c>
      <c r="AR664">
        <f>HYPERLINK("http://catalog.hathitrust.org/Record/000360510","HathiTrust Record")</f>
        <v/>
      </c>
      <c r="AS664">
        <f>HYPERLINK("https://creighton-primo.hosted.exlibrisgroup.com/primo-explore/search?tab=default_tab&amp;search_scope=EVERYTHING&amp;vid=01CRU&amp;lang=en_US&amp;offset=0&amp;query=any,contains,991003668879702656","Catalog Record")</f>
        <v/>
      </c>
      <c r="AT664">
        <f>HYPERLINK("http://www.worldcat.org/oclc/1284994","WorldCat Record")</f>
        <v/>
      </c>
      <c r="AU664" t="inlineStr">
        <is>
          <t>2829859248:eng</t>
        </is>
      </c>
      <c r="AV664" t="inlineStr">
        <is>
          <t>1284994</t>
        </is>
      </c>
      <c r="AW664" t="inlineStr">
        <is>
          <t>991003668879702656</t>
        </is>
      </c>
      <c r="AX664" t="inlineStr">
        <is>
          <t>991003668879702656</t>
        </is>
      </c>
      <c r="AY664" t="inlineStr">
        <is>
          <t>2264775800002656</t>
        </is>
      </c>
      <c r="AZ664" t="inlineStr">
        <is>
          <t>BOOK</t>
        </is>
      </c>
      <c r="BC664" t="inlineStr">
        <is>
          <t>32285002250073</t>
        </is>
      </c>
      <c r="BD664" t="inlineStr">
        <is>
          <t>893693008</t>
        </is>
      </c>
    </row>
    <row r="665">
      <c r="A665" t="inlineStr">
        <is>
          <t>No</t>
        </is>
      </c>
      <c r="B665" t="inlineStr">
        <is>
          <t>BF575.F16 H313 1983</t>
        </is>
      </c>
      <c r="C665" t="inlineStr">
        <is>
          <t>0                      BF 0575000F  16                 H  313         1983</t>
        </is>
      </c>
      <c r="D665" t="inlineStr">
        <is>
          <t>Fanaticism : a historical and psychoanalytical study / André Haynal, Miklós Molnár, Gérard de Puymège ; translated by Linda Butler Koseoglu.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Haynal, André.</t>
        </is>
      </c>
      <c r="L665" t="inlineStr">
        <is>
          <t>New York : Schocken Books, 1983.</t>
        </is>
      </c>
      <c r="M665" t="inlineStr">
        <is>
          <t>1983</t>
        </is>
      </c>
      <c r="O665" t="inlineStr">
        <is>
          <t>eng</t>
        </is>
      </c>
      <c r="P665" t="inlineStr">
        <is>
          <t>nyu</t>
        </is>
      </c>
      <c r="R665" t="inlineStr">
        <is>
          <t xml:space="preserve">BF </t>
        </is>
      </c>
      <c r="S665" t="n">
        <v>2</v>
      </c>
      <c r="T665" t="n">
        <v>2</v>
      </c>
      <c r="U665" t="inlineStr">
        <is>
          <t>2000-11-06</t>
        </is>
      </c>
      <c r="V665" t="inlineStr">
        <is>
          <t>2000-11-06</t>
        </is>
      </c>
      <c r="W665" t="inlineStr">
        <is>
          <t>1993-03-31</t>
        </is>
      </c>
      <c r="X665" t="inlineStr">
        <is>
          <t>1993-03-31</t>
        </is>
      </c>
      <c r="Y665" t="n">
        <v>597</v>
      </c>
      <c r="Z665" t="n">
        <v>533</v>
      </c>
      <c r="AA665" t="n">
        <v>547</v>
      </c>
      <c r="AB665" t="n">
        <v>4</v>
      </c>
      <c r="AC665" t="n">
        <v>4</v>
      </c>
      <c r="AD665" t="n">
        <v>19</v>
      </c>
      <c r="AE665" t="n">
        <v>20</v>
      </c>
      <c r="AF665" t="n">
        <v>6</v>
      </c>
      <c r="AG665" t="n">
        <v>7</v>
      </c>
      <c r="AH665" t="n">
        <v>5</v>
      </c>
      <c r="AI665" t="n">
        <v>5</v>
      </c>
      <c r="AJ665" t="n">
        <v>10</v>
      </c>
      <c r="AK665" t="n">
        <v>10</v>
      </c>
      <c r="AL665" t="n">
        <v>3</v>
      </c>
      <c r="AM665" t="n">
        <v>3</v>
      </c>
      <c r="AN665" t="n">
        <v>0</v>
      </c>
      <c r="AO665" t="n">
        <v>0</v>
      </c>
      <c r="AP665" t="inlineStr">
        <is>
          <t>No</t>
        </is>
      </c>
      <c r="AQ665" t="inlineStr">
        <is>
          <t>Yes</t>
        </is>
      </c>
      <c r="AR665">
        <f>HYPERLINK("http://catalog.hathitrust.org/Record/000769081","HathiTrust Record")</f>
        <v/>
      </c>
      <c r="AS665">
        <f>HYPERLINK("https://creighton-primo.hosted.exlibrisgroup.com/primo-explore/search?tab=default_tab&amp;search_scope=EVERYTHING&amp;vid=01CRU&amp;lang=en_US&amp;offset=0&amp;query=any,contains,991005240799702656","Catalog Record")</f>
        <v/>
      </c>
      <c r="AT665">
        <f>HYPERLINK("http://www.worldcat.org/oclc/8411090","WorldCat Record")</f>
        <v/>
      </c>
      <c r="AU665" t="inlineStr">
        <is>
          <t>1150976136:eng</t>
        </is>
      </c>
      <c r="AV665" t="inlineStr">
        <is>
          <t>8411090</t>
        </is>
      </c>
      <c r="AW665" t="inlineStr">
        <is>
          <t>991005240799702656</t>
        </is>
      </c>
      <c r="AX665" t="inlineStr">
        <is>
          <t>991005240799702656</t>
        </is>
      </c>
      <c r="AY665" t="inlineStr">
        <is>
          <t>2257288110002656</t>
        </is>
      </c>
      <c r="AZ665" t="inlineStr">
        <is>
          <t>BOOK</t>
        </is>
      </c>
      <c r="BB665" t="inlineStr">
        <is>
          <t>9780805238174</t>
        </is>
      </c>
      <c r="BC665" t="inlineStr">
        <is>
          <t>32285001596088</t>
        </is>
      </c>
      <c r="BD665" t="inlineStr">
        <is>
          <t>893507831</t>
        </is>
      </c>
    </row>
    <row r="666">
      <c r="A666" t="inlineStr">
        <is>
          <t>No</t>
        </is>
      </c>
      <c r="B666" t="inlineStr">
        <is>
          <t>BF575.F2 F46 1977</t>
        </is>
      </c>
      <c r="C666" t="inlineStr">
        <is>
          <t>0                      BF 0575000F  2                  F  46          1977</t>
        </is>
      </c>
      <c r="D666" t="inlineStr">
        <is>
          <t>Stop running scared! : Fear control training : how to conquer your fears, phobias, and anxieties / by Herbert Fensterheim and Jean Baer. --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K666" t="inlineStr">
        <is>
          <t>Fensterheim, Herbert, 1921-2011.</t>
        </is>
      </c>
      <c r="L666" t="inlineStr">
        <is>
          <t>New York : Rawson Associates Publishers, c1977.</t>
        </is>
      </c>
      <c r="M666" t="inlineStr">
        <is>
          <t>1977</t>
        </is>
      </c>
      <c r="N666" t="inlineStr">
        <is>
          <t>1st ed.</t>
        </is>
      </c>
      <c r="O666" t="inlineStr">
        <is>
          <t>eng</t>
        </is>
      </c>
      <c r="P666" t="inlineStr">
        <is>
          <t>nyu</t>
        </is>
      </c>
      <c r="R666" t="inlineStr">
        <is>
          <t xml:space="preserve">BF </t>
        </is>
      </c>
      <c r="S666" t="n">
        <v>8</v>
      </c>
      <c r="T666" t="n">
        <v>8</v>
      </c>
      <c r="U666" t="inlineStr">
        <is>
          <t>2004-10-10</t>
        </is>
      </c>
      <c r="V666" t="inlineStr">
        <is>
          <t>2004-10-10</t>
        </is>
      </c>
      <c r="W666" t="inlineStr">
        <is>
          <t>1993-03-31</t>
        </is>
      </c>
      <c r="X666" t="inlineStr">
        <is>
          <t>1993-03-31</t>
        </is>
      </c>
      <c r="Y666" t="n">
        <v>335</v>
      </c>
      <c r="Z666" t="n">
        <v>314</v>
      </c>
      <c r="AA666" t="n">
        <v>392</v>
      </c>
      <c r="AB666" t="n">
        <v>2</v>
      </c>
      <c r="AC666" t="n">
        <v>3</v>
      </c>
      <c r="AD666" t="n">
        <v>4</v>
      </c>
      <c r="AE666" t="n">
        <v>7</v>
      </c>
      <c r="AF666" t="n">
        <v>2</v>
      </c>
      <c r="AG666" t="n">
        <v>4</v>
      </c>
      <c r="AH666" t="n">
        <v>0</v>
      </c>
      <c r="AI666" t="n">
        <v>1</v>
      </c>
      <c r="AJ666" t="n">
        <v>1</v>
      </c>
      <c r="AK666" t="n">
        <v>1</v>
      </c>
      <c r="AL666" t="n">
        <v>1</v>
      </c>
      <c r="AM666" t="n">
        <v>1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HYPERLINK("http://catalog.hathitrust.org/Record/004445308","HathiTrust Record")</f>
        <v/>
      </c>
      <c r="AS666">
        <f>HYPERLINK("https://creighton-primo.hosted.exlibrisgroup.com/primo-explore/search?tab=default_tab&amp;search_scope=EVERYTHING&amp;vid=01CRU&amp;lang=en_US&amp;offset=0&amp;query=any,contains,991004384529702656","Catalog Record")</f>
        <v/>
      </c>
      <c r="AT666">
        <f>HYPERLINK("http://www.worldcat.org/oclc/3239760","WorldCat Record")</f>
        <v/>
      </c>
      <c r="AU666" t="inlineStr">
        <is>
          <t>3901437983:eng</t>
        </is>
      </c>
      <c r="AV666" t="inlineStr">
        <is>
          <t>3239760</t>
        </is>
      </c>
      <c r="AW666" t="inlineStr">
        <is>
          <t>991004384529702656</t>
        </is>
      </c>
      <c r="AX666" t="inlineStr">
        <is>
          <t>991004384529702656</t>
        </is>
      </c>
      <c r="AY666" t="inlineStr">
        <is>
          <t>2256447620002656</t>
        </is>
      </c>
      <c r="AZ666" t="inlineStr">
        <is>
          <t>BOOK</t>
        </is>
      </c>
      <c r="BB666" t="inlineStr">
        <is>
          <t>9780892560349</t>
        </is>
      </c>
      <c r="BC666" t="inlineStr">
        <is>
          <t>32285001596096</t>
        </is>
      </c>
      <c r="BD666" t="inlineStr">
        <is>
          <t>893876034</t>
        </is>
      </c>
    </row>
    <row r="667">
      <c r="A667" t="inlineStr">
        <is>
          <t>No</t>
        </is>
      </c>
      <c r="B667" t="inlineStr">
        <is>
          <t>BF575.F2 F75</t>
        </is>
      </c>
      <c r="C667" t="inlineStr">
        <is>
          <t>0                      BF 0575000F  2                  F  75</t>
        </is>
      </c>
      <c r="D667" t="inlineStr">
        <is>
          <t>Fight against fears.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Freeman, Lucy, 1916-2004.</t>
        </is>
      </c>
      <c r="L667" t="inlineStr">
        <is>
          <t>New York, Crown [c1951]</t>
        </is>
      </c>
      <c r="M667" t="inlineStr">
        <is>
          <t>1951</t>
        </is>
      </c>
      <c r="O667" t="inlineStr">
        <is>
          <t>eng</t>
        </is>
      </c>
      <c r="P667" t="inlineStr">
        <is>
          <t xml:space="preserve">xx </t>
        </is>
      </c>
      <c r="R667" t="inlineStr">
        <is>
          <t xml:space="preserve">BF </t>
        </is>
      </c>
      <c r="S667" t="n">
        <v>1</v>
      </c>
      <c r="T667" t="n">
        <v>1</v>
      </c>
      <c r="U667" t="inlineStr">
        <is>
          <t>2002-03-22</t>
        </is>
      </c>
      <c r="V667" t="inlineStr">
        <is>
          <t>2002-03-22</t>
        </is>
      </c>
      <c r="W667" t="inlineStr">
        <is>
          <t>1996-07-30</t>
        </is>
      </c>
      <c r="X667" t="inlineStr">
        <is>
          <t>1996-07-30</t>
        </is>
      </c>
      <c r="Y667" t="n">
        <v>462</v>
      </c>
      <c r="Z667" t="n">
        <v>436</v>
      </c>
      <c r="AA667" t="n">
        <v>538</v>
      </c>
      <c r="AB667" t="n">
        <v>2</v>
      </c>
      <c r="AC667" t="n">
        <v>2</v>
      </c>
      <c r="AD667" t="n">
        <v>15</v>
      </c>
      <c r="AE667" t="n">
        <v>15</v>
      </c>
      <c r="AF667" t="n">
        <v>7</v>
      </c>
      <c r="AG667" t="n">
        <v>7</v>
      </c>
      <c r="AH667" t="n">
        <v>3</v>
      </c>
      <c r="AI667" t="n">
        <v>3</v>
      </c>
      <c r="AJ667" t="n">
        <v>5</v>
      </c>
      <c r="AK667" t="n">
        <v>5</v>
      </c>
      <c r="AL667" t="n">
        <v>1</v>
      </c>
      <c r="AM667" t="n">
        <v>1</v>
      </c>
      <c r="AN667" t="n">
        <v>0</v>
      </c>
      <c r="AO667" t="n">
        <v>0</v>
      </c>
      <c r="AP667" t="inlineStr">
        <is>
          <t>No</t>
        </is>
      </c>
      <c r="AQ667" t="inlineStr">
        <is>
          <t>Yes</t>
        </is>
      </c>
      <c r="AR667">
        <f>HYPERLINK("http://catalog.hathitrust.org/Record/000381738","HathiTrust Record")</f>
        <v/>
      </c>
      <c r="AS667">
        <f>HYPERLINK("https://creighton-primo.hosted.exlibrisgroup.com/primo-explore/search?tab=default_tab&amp;search_scope=EVERYTHING&amp;vid=01CRU&amp;lang=en_US&amp;offset=0&amp;query=any,contains,991000951079702656","Catalog Record")</f>
        <v/>
      </c>
      <c r="AT667">
        <f>HYPERLINK("http://www.worldcat.org/oclc/14665493","WorldCat Record")</f>
        <v/>
      </c>
      <c r="AU667" t="inlineStr">
        <is>
          <t>19806166:eng</t>
        </is>
      </c>
      <c r="AV667" t="inlineStr">
        <is>
          <t>14665493</t>
        </is>
      </c>
      <c r="AW667" t="inlineStr">
        <is>
          <t>991000951079702656</t>
        </is>
      </c>
      <c r="AX667" t="inlineStr">
        <is>
          <t>991000951079702656</t>
        </is>
      </c>
      <c r="AY667" t="inlineStr">
        <is>
          <t>2265181080002656</t>
        </is>
      </c>
      <c r="AZ667" t="inlineStr">
        <is>
          <t>BOOK</t>
        </is>
      </c>
      <c r="BC667" t="inlineStr">
        <is>
          <t>32285002250099</t>
        </is>
      </c>
      <c r="BD667" t="inlineStr">
        <is>
          <t>893315385</t>
        </is>
      </c>
    </row>
    <row r="668">
      <c r="A668" t="inlineStr">
        <is>
          <t>No</t>
        </is>
      </c>
      <c r="B668" t="inlineStr">
        <is>
          <t>BF575.F2 G73 1987</t>
        </is>
      </c>
      <c r="C668" t="inlineStr">
        <is>
          <t>0                      BF 0575000F  2                  G  73          1987</t>
        </is>
      </c>
      <c r="D668" t="inlineStr">
        <is>
          <t>The psychology of fear and stress / Jeffrey Alan Gray.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K668" t="inlineStr">
        <is>
          <t>Gray, Jeffrey Alan.</t>
        </is>
      </c>
      <c r="L668" t="inlineStr">
        <is>
          <t>Cambridge ; New York : Cambridge University Press, 1987.</t>
        </is>
      </c>
      <c r="M668" t="inlineStr">
        <is>
          <t>1987</t>
        </is>
      </c>
      <c r="N668" t="inlineStr">
        <is>
          <t>2nd ed.</t>
        </is>
      </c>
      <c r="O668" t="inlineStr">
        <is>
          <t>eng</t>
        </is>
      </c>
      <c r="P668" t="inlineStr">
        <is>
          <t>enk</t>
        </is>
      </c>
      <c r="Q668" t="inlineStr">
        <is>
          <t>Problems in the behavioural sciences</t>
        </is>
      </c>
      <c r="R668" t="inlineStr">
        <is>
          <t xml:space="preserve">BF </t>
        </is>
      </c>
      <c r="S668" t="n">
        <v>9</v>
      </c>
      <c r="T668" t="n">
        <v>9</v>
      </c>
      <c r="U668" t="inlineStr">
        <is>
          <t>2005-04-21</t>
        </is>
      </c>
      <c r="V668" t="inlineStr">
        <is>
          <t>2005-04-21</t>
        </is>
      </c>
      <c r="W668" t="inlineStr">
        <is>
          <t>1990-04-09</t>
        </is>
      </c>
      <c r="X668" t="inlineStr">
        <is>
          <t>1990-04-09</t>
        </is>
      </c>
      <c r="Y668" t="n">
        <v>606</v>
      </c>
      <c r="Z668" t="n">
        <v>438</v>
      </c>
      <c r="AA668" t="n">
        <v>790</v>
      </c>
      <c r="AB668" t="n">
        <v>3</v>
      </c>
      <c r="AC668" t="n">
        <v>4</v>
      </c>
      <c r="AD668" t="n">
        <v>24</v>
      </c>
      <c r="AE668" t="n">
        <v>37</v>
      </c>
      <c r="AF668" t="n">
        <v>13</v>
      </c>
      <c r="AG668" t="n">
        <v>19</v>
      </c>
      <c r="AH668" t="n">
        <v>6</v>
      </c>
      <c r="AI668" t="n">
        <v>10</v>
      </c>
      <c r="AJ668" t="n">
        <v>10</v>
      </c>
      <c r="AK668" t="n">
        <v>15</v>
      </c>
      <c r="AL668" t="n">
        <v>2</v>
      </c>
      <c r="AM668" t="n">
        <v>3</v>
      </c>
      <c r="AN668" t="n">
        <v>0</v>
      </c>
      <c r="AO668" t="n">
        <v>0</v>
      </c>
      <c r="AP668" t="inlineStr">
        <is>
          <t>No</t>
        </is>
      </c>
      <c r="AQ668" t="inlineStr">
        <is>
          <t>No</t>
        </is>
      </c>
      <c r="AS668">
        <f>HYPERLINK("https://creighton-primo.hosted.exlibrisgroup.com/primo-explore/search?tab=default_tab&amp;search_scope=EVERYTHING&amp;vid=01CRU&amp;lang=en_US&amp;offset=0&amp;query=any,contains,991000986759702656","Catalog Record")</f>
        <v/>
      </c>
      <c r="AT668">
        <f>HYPERLINK("http://www.worldcat.org/oclc/15082674","WorldCat Record")</f>
        <v/>
      </c>
      <c r="AU668" t="inlineStr">
        <is>
          <t>4783123087:eng</t>
        </is>
      </c>
      <c r="AV668" t="inlineStr">
        <is>
          <t>15082674</t>
        </is>
      </c>
      <c r="AW668" t="inlineStr">
        <is>
          <t>991000986759702656</t>
        </is>
      </c>
      <c r="AX668" t="inlineStr">
        <is>
          <t>991000986759702656</t>
        </is>
      </c>
      <c r="AY668" t="inlineStr">
        <is>
          <t>2259564100002656</t>
        </is>
      </c>
      <c r="AZ668" t="inlineStr">
        <is>
          <t>BOOK</t>
        </is>
      </c>
      <c r="BB668" t="inlineStr">
        <is>
          <t>9780521270984</t>
        </is>
      </c>
      <c r="BC668" t="inlineStr">
        <is>
          <t>32285000113588</t>
        </is>
      </c>
      <c r="BD668" t="inlineStr">
        <is>
          <t>893231602</t>
        </is>
      </c>
    </row>
    <row r="669">
      <c r="A669" t="inlineStr">
        <is>
          <t>No</t>
        </is>
      </c>
      <c r="B669" t="inlineStr">
        <is>
          <t>BF575.F2 H3</t>
        </is>
      </c>
      <c r="C669" t="inlineStr">
        <is>
          <t>0                      BF 0575000F  2                  H  3</t>
        </is>
      </c>
      <c r="D669" t="inlineStr">
        <is>
          <t>Overcoming worry and fear / by Paul A. Hauck.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Hauck, Paul A.</t>
        </is>
      </c>
      <c r="L669" t="inlineStr">
        <is>
          <t>Philadelphia : Westminster Press, [1975]</t>
        </is>
      </c>
      <c r="M669" t="inlineStr">
        <is>
          <t>1975</t>
        </is>
      </c>
      <c r="O669" t="inlineStr">
        <is>
          <t>eng</t>
        </is>
      </c>
      <c r="P669" t="inlineStr">
        <is>
          <t>pau</t>
        </is>
      </c>
      <c r="R669" t="inlineStr">
        <is>
          <t xml:space="preserve">BF </t>
        </is>
      </c>
      <c r="S669" t="n">
        <v>13</v>
      </c>
      <c r="T669" t="n">
        <v>13</v>
      </c>
      <c r="U669" t="inlineStr">
        <is>
          <t>2002-03-22</t>
        </is>
      </c>
      <c r="V669" t="inlineStr">
        <is>
          <t>2002-03-22</t>
        </is>
      </c>
      <c r="W669" t="inlineStr">
        <is>
          <t>1990-02-21</t>
        </is>
      </c>
      <c r="X669" t="inlineStr">
        <is>
          <t>1990-02-21</t>
        </is>
      </c>
      <c r="Y669" t="n">
        <v>222</v>
      </c>
      <c r="Z669" t="n">
        <v>206</v>
      </c>
      <c r="AA669" t="n">
        <v>212</v>
      </c>
      <c r="AB669" t="n">
        <v>2</v>
      </c>
      <c r="AC669" t="n">
        <v>2</v>
      </c>
      <c r="AD669" t="n">
        <v>5</v>
      </c>
      <c r="AE669" t="n">
        <v>5</v>
      </c>
      <c r="AF669" t="n">
        <v>2</v>
      </c>
      <c r="AG669" t="n">
        <v>2</v>
      </c>
      <c r="AH669" t="n">
        <v>1</v>
      </c>
      <c r="AI669" t="n">
        <v>1</v>
      </c>
      <c r="AJ669" t="n">
        <v>1</v>
      </c>
      <c r="AK669" t="n">
        <v>1</v>
      </c>
      <c r="AL669" t="n">
        <v>1</v>
      </c>
      <c r="AM669" t="n">
        <v>1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HYPERLINK("https://creighton-primo.hosted.exlibrisgroup.com/primo-explore/search?tab=default_tab&amp;search_scope=EVERYTHING&amp;vid=01CRU&amp;lang=en_US&amp;offset=0&amp;query=any,contains,991003503729702656","Catalog Record")</f>
        <v/>
      </c>
      <c r="AT669">
        <f>HYPERLINK("http://www.worldcat.org/oclc/1055549","WorldCat Record")</f>
        <v/>
      </c>
      <c r="AU669" t="inlineStr">
        <is>
          <t>513900:eng</t>
        </is>
      </c>
      <c r="AV669" t="inlineStr">
        <is>
          <t>1055549</t>
        </is>
      </c>
      <c r="AW669" t="inlineStr">
        <is>
          <t>991003503729702656</t>
        </is>
      </c>
      <c r="AX669" t="inlineStr">
        <is>
          <t>991003503729702656</t>
        </is>
      </c>
      <c r="AY669" t="inlineStr">
        <is>
          <t>2269815220002656</t>
        </is>
      </c>
      <c r="AZ669" t="inlineStr">
        <is>
          <t>BOOK</t>
        </is>
      </c>
      <c r="BB669" t="inlineStr">
        <is>
          <t>9780664248116</t>
        </is>
      </c>
      <c r="BC669" t="inlineStr">
        <is>
          <t>32285000057504</t>
        </is>
      </c>
      <c r="BD669" t="inlineStr">
        <is>
          <t>893711424</t>
        </is>
      </c>
    </row>
    <row r="670">
      <c r="A670" t="inlineStr">
        <is>
          <t>No</t>
        </is>
      </c>
      <c r="B670" t="inlineStr">
        <is>
          <t>BF575.F2 M37 1978</t>
        </is>
      </c>
      <c r="C670" t="inlineStr">
        <is>
          <t>0                      BF 0575000F  2                  M  37          1978</t>
        </is>
      </c>
      <c r="D670" t="inlineStr">
        <is>
          <t>Living with fear : understanding and coping with anxiety / Isaac M. Marks.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Marks, Isaac Meyer.</t>
        </is>
      </c>
      <c r="L670" t="inlineStr">
        <is>
          <t>New York : McGraw-Hill, c1978.</t>
        </is>
      </c>
      <c r="M670" t="inlineStr">
        <is>
          <t>1978</t>
        </is>
      </c>
      <c r="O670" t="inlineStr">
        <is>
          <t>eng</t>
        </is>
      </c>
      <c r="P670" t="inlineStr">
        <is>
          <t>nyu</t>
        </is>
      </c>
      <c r="R670" t="inlineStr">
        <is>
          <t xml:space="preserve">BF </t>
        </is>
      </c>
      <c r="S670" t="n">
        <v>5</v>
      </c>
      <c r="T670" t="n">
        <v>5</v>
      </c>
      <c r="U670" t="inlineStr">
        <is>
          <t>2002-03-22</t>
        </is>
      </c>
      <c r="V670" t="inlineStr">
        <is>
          <t>2002-03-22</t>
        </is>
      </c>
      <c r="W670" t="inlineStr">
        <is>
          <t>1993-03-31</t>
        </is>
      </c>
      <c r="X670" t="inlineStr">
        <is>
          <t>1993-03-31</t>
        </is>
      </c>
      <c r="Y670" t="n">
        <v>647</v>
      </c>
      <c r="Z670" t="n">
        <v>511</v>
      </c>
      <c r="AA670" t="n">
        <v>551</v>
      </c>
      <c r="AB670" t="n">
        <v>5</v>
      </c>
      <c r="AC670" t="n">
        <v>5</v>
      </c>
      <c r="AD670" t="n">
        <v>14</v>
      </c>
      <c r="AE670" t="n">
        <v>15</v>
      </c>
      <c r="AF670" t="n">
        <v>7</v>
      </c>
      <c r="AG670" t="n">
        <v>7</v>
      </c>
      <c r="AH670" t="n">
        <v>1</v>
      </c>
      <c r="AI670" t="n">
        <v>2</v>
      </c>
      <c r="AJ670" t="n">
        <v>6</v>
      </c>
      <c r="AK670" t="n">
        <v>7</v>
      </c>
      <c r="AL670" t="n">
        <v>2</v>
      </c>
      <c r="AM670" t="n">
        <v>2</v>
      </c>
      <c r="AN670" t="n">
        <v>0</v>
      </c>
      <c r="AO670" t="n">
        <v>0</v>
      </c>
      <c r="AP670" t="inlineStr">
        <is>
          <t>No</t>
        </is>
      </c>
      <c r="AQ670" t="inlineStr">
        <is>
          <t>Yes</t>
        </is>
      </c>
      <c r="AR670">
        <f>HYPERLINK("http://catalog.hathitrust.org/Record/000752951","HathiTrust Record")</f>
        <v/>
      </c>
      <c r="AS670">
        <f>HYPERLINK("https://creighton-primo.hosted.exlibrisgroup.com/primo-explore/search?tab=default_tab&amp;search_scope=EVERYTHING&amp;vid=01CRU&amp;lang=en_US&amp;offset=0&amp;query=any,contains,991004438679702656","Catalog Record")</f>
        <v/>
      </c>
      <c r="AT670">
        <f>HYPERLINK("http://www.worldcat.org/oclc/3447548","WorldCat Record")</f>
        <v/>
      </c>
      <c r="AU670" t="inlineStr">
        <is>
          <t>405886:eng</t>
        </is>
      </c>
      <c r="AV670" t="inlineStr">
        <is>
          <t>3447548</t>
        </is>
      </c>
      <c r="AW670" t="inlineStr">
        <is>
          <t>991004438679702656</t>
        </is>
      </c>
      <c r="AX670" t="inlineStr">
        <is>
          <t>991004438679702656</t>
        </is>
      </c>
      <c r="AY670" t="inlineStr">
        <is>
          <t>2268735400002656</t>
        </is>
      </c>
      <c r="AZ670" t="inlineStr">
        <is>
          <t>BOOK</t>
        </is>
      </c>
      <c r="BB670" t="inlineStr">
        <is>
          <t>9780070403956</t>
        </is>
      </c>
      <c r="BC670" t="inlineStr">
        <is>
          <t>32285001596104</t>
        </is>
      </c>
      <c r="BD670" t="inlineStr">
        <is>
          <t>893693957</t>
        </is>
      </c>
    </row>
    <row r="671">
      <c r="A671" t="inlineStr">
        <is>
          <t>No</t>
        </is>
      </c>
      <c r="B671" t="inlineStr">
        <is>
          <t>BF575.F2 M4 1974</t>
        </is>
      </c>
      <c r="C671" t="inlineStr">
        <is>
          <t>0                      BF 0575000F  2                  M  4           1974</t>
        </is>
      </c>
      <c r="D671" t="inlineStr">
        <is>
          <t>Patterns of panic / by Joost A. M. Meerloo.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Meerloo, Joost Abraham Maurits, 1903-1976.</t>
        </is>
      </c>
      <c r="L671" t="inlineStr">
        <is>
          <t>Westport, Conn. : Greenwood Press, [1974, c1950]</t>
        </is>
      </c>
      <c r="M671" t="inlineStr">
        <is>
          <t>1974</t>
        </is>
      </c>
      <c r="O671" t="inlineStr">
        <is>
          <t>eng</t>
        </is>
      </c>
      <c r="P671" t="inlineStr">
        <is>
          <t>ctu</t>
        </is>
      </c>
      <c r="R671" t="inlineStr">
        <is>
          <t xml:space="preserve">BF </t>
        </is>
      </c>
      <c r="S671" t="n">
        <v>1</v>
      </c>
      <c r="T671" t="n">
        <v>1</v>
      </c>
      <c r="U671" t="inlineStr">
        <is>
          <t>2002-03-22</t>
        </is>
      </c>
      <c r="V671" t="inlineStr">
        <is>
          <t>2002-03-22</t>
        </is>
      </c>
      <c r="W671" t="inlineStr">
        <is>
          <t>1996-04-24</t>
        </is>
      </c>
      <c r="X671" t="inlineStr">
        <is>
          <t>1996-04-24</t>
        </is>
      </c>
      <c r="Y671" t="n">
        <v>89</v>
      </c>
      <c r="Z671" t="n">
        <v>82</v>
      </c>
      <c r="AA671" t="n">
        <v>263</v>
      </c>
      <c r="AB671" t="n">
        <v>1</v>
      </c>
      <c r="AC671" t="n">
        <v>2</v>
      </c>
      <c r="AD671" t="n">
        <v>3</v>
      </c>
      <c r="AE671" t="n">
        <v>8</v>
      </c>
      <c r="AF671" t="n">
        <v>1</v>
      </c>
      <c r="AG671" t="n">
        <v>3</v>
      </c>
      <c r="AH671" t="n">
        <v>3</v>
      </c>
      <c r="AI671" t="n">
        <v>3</v>
      </c>
      <c r="AJ671" t="n">
        <v>1</v>
      </c>
      <c r="AK671" t="n">
        <v>4</v>
      </c>
      <c r="AL671" t="n">
        <v>0</v>
      </c>
      <c r="AM671" t="n">
        <v>1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HYPERLINK("https://creighton-primo.hosted.exlibrisgroup.com/primo-explore/search?tab=default_tab&amp;search_scope=EVERYTHING&amp;vid=01CRU&amp;lang=en_US&amp;offset=0&amp;query=any,contains,991003205789702656","Catalog Record")</f>
        <v/>
      </c>
      <c r="AT671">
        <f>HYPERLINK("http://www.worldcat.org/oclc/730718","WorldCat Record")</f>
        <v/>
      </c>
      <c r="AU671" t="inlineStr">
        <is>
          <t>114397107:eng</t>
        </is>
      </c>
      <c r="AV671" t="inlineStr">
        <is>
          <t>730718</t>
        </is>
      </c>
      <c r="AW671" t="inlineStr">
        <is>
          <t>991003205789702656</t>
        </is>
      </c>
      <c r="AX671" t="inlineStr">
        <is>
          <t>991003205789702656</t>
        </is>
      </c>
      <c r="AY671" t="inlineStr">
        <is>
          <t>2267025210002656</t>
        </is>
      </c>
      <c r="AZ671" t="inlineStr">
        <is>
          <t>BOOK</t>
        </is>
      </c>
      <c r="BB671" t="inlineStr">
        <is>
          <t>9780837170091</t>
        </is>
      </c>
      <c r="BC671" t="inlineStr">
        <is>
          <t>32285002160058</t>
        </is>
      </c>
      <c r="BD671" t="inlineStr">
        <is>
          <t>893717415</t>
        </is>
      </c>
    </row>
    <row r="672">
      <c r="A672" t="inlineStr">
        <is>
          <t>No</t>
        </is>
      </c>
      <c r="B672" t="inlineStr">
        <is>
          <t>BF575.F2 O6</t>
        </is>
      </c>
      <c r="C672" t="inlineStr">
        <is>
          <t>0                      BF 0575000F  2                  O  6</t>
        </is>
      </c>
      <c r="D672" t="inlineStr">
        <is>
          <t>Fear; the autobiography of James Edwards, by John Rathbone Oliver.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Oliver, John Rathbone, 1872-1943.</t>
        </is>
      </c>
      <c r="L672" t="inlineStr">
        <is>
          <t>New York, Macmillan [1927]</t>
        </is>
      </c>
      <c r="M672" t="inlineStr">
        <is>
          <t>1927</t>
        </is>
      </c>
      <c r="O672" t="inlineStr">
        <is>
          <t>eng</t>
        </is>
      </c>
      <c r="P672" t="inlineStr">
        <is>
          <t>nyu</t>
        </is>
      </c>
      <c r="R672" t="inlineStr">
        <is>
          <t xml:space="preserve">BF </t>
        </is>
      </c>
      <c r="S672" t="n">
        <v>1</v>
      </c>
      <c r="T672" t="n">
        <v>1</v>
      </c>
      <c r="U672" t="inlineStr">
        <is>
          <t>2002-03-22</t>
        </is>
      </c>
      <c r="V672" t="inlineStr">
        <is>
          <t>2002-03-22</t>
        </is>
      </c>
      <c r="W672" t="inlineStr">
        <is>
          <t>1996-07-30</t>
        </is>
      </c>
      <c r="X672" t="inlineStr">
        <is>
          <t>1996-07-30</t>
        </is>
      </c>
      <c r="Y672" t="n">
        <v>299</v>
      </c>
      <c r="Z672" t="n">
        <v>290</v>
      </c>
      <c r="AA672" t="n">
        <v>424</v>
      </c>
      <c r="AB672" t="n">
        <v>2</v>
      </c>
      <c r="AC672" t="n">
        <v>4</v>
      </c>
      <c r="AD672" t="n">
        <v>13</v>
      </c>
      <c r="AE672" t="n">
        <v>23</v>
      </c>
      <c r="AF672" t="n">
        <v>5</v>
      </c>
      <c r="AG672" t="n">
        <v>6</v>
      </c>
      <c r="AH672" t="n">
        <v>3</v>
      </c>
      <c r="AI672" t="n">
        <v>7</v>
      </c>
      <c r="AJ672" t="n">
        <v>7</v>
      </c>
      <c r="AK672" t="n">
        <v>12</v>
      </c>
      <c r="AL672" t="n">
        <v>1</v>
      </c>
      <c r="AM672" t="n">
        <v>3</v>
      </c>
      <c r="AN672" t="n">
        <v>0</v>
      </c>
      <c r="AO672" t="n">
        <v>0</v>
      </c>
      <c r="AP672" t="inlineStr">
        <is>
          <t>No</t>
        </is>
      </c>
      <c r="AQ672" t="inlineStr">
        <is>
          <t>Yes</t>
        </is>
      </c>
      <c r="AR672">
        <f>HYPERLINK("http://catalog.hathitrust.org/Record/000387363","HathiTrust Record")</f>
        <v/>
      </c>
      <c r="AS672">
        <f>HYPERLINK("https://creighton-primo.hosted.exlibrisgroup.com/primo-explore/search?tab=default_tab&amp;search_scope=EVERYTHING&amp;vid=01CRU&amp;lang=en_US&amp;offset=0&amp;query=any,contains,991002980129702656","Catalog Record")</f>
        <v/>
      </c>
      <c r="AT672">
        <f>HYPERLINK("http://www.worldcat.org/oclc/554422","WorldCat Record")</f>
        <v/>
      </c>
      <c r="AU672" t="inlineStr">
        <is>
          <t>1611448:eng</t>
        </is>
      </c>
      <c r="AV672" t="inlineStr">
        <is>
          <t>554422</t>
        </is>
      </c>
      <c r="AW672" t="inlineStr">
        <is>
          <t>991002980129702656</t>
        </is>
      </c>
      <c r="AX672" t="inlineStr">
        <is>
          <t>991002980129702656</t>
        </is>
      </c>
      <c r="AY672" t="inlineStr">
        <is>
          <t>2256073670002656</t>
        </is>
      </c>
      <c r="AZ672" t="inlineStr">
        <is>
          <t>BOOK</t>
        </is>
      </c>
      <c r="BC672" t="inlineStr">
        <is>
          <t>32285002250107</t>
        </is>
      </c>
      <c r="BD672" t="inlineStr">
        <is>
          <t>893893239</t>
        </is>
      </c>
    </row>
    <row r="673">
      <c r="A673" t="inlineStr">
        <is>
          <t>No</t>
        </is>
      </c>
      <c r="B673" t="inlineStr">
        <is>
          <t>BF575.F2 O9 1962</t>
        </is>
      </c>
      <c r="C673" t="inlineStr">
        <is>
          <t>0                      BF 0575000F  2                  O  9           1962</t>
        </is>
      </c>
      <c r="D673" t="inlineStr">
        <is>
          <t>Understanding fear in ourselves and others / [by] Bonaro W. Overstreet.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Overstreet, Bonaro W. (Bonaro Wilkinson), 1902-1985.</t>
        </is>
      </c>
      <c r="L673" t="inlineStr">
        <is>
          <t>New York ; London : Collier, 1962.</t>
        </is>
      </c>
      <c r="M673" t="inlineStr">
        <is>
          <t>1962</t>
        </is>
      </c>
      <c r="O673" t="inlineStr">
        <is>
          <t>eng</t>
        </is>
      </c>
      <c r="P673" t="inlineStr">
        <is>
          <t>nyu</t>
        </is>
      </c>
      <c r="R673" t="inlineStr">
        <is>
          <t xml:space="preserve">BF </t>
        </is>
      </c>
      <c r="S673" t="n">
        <v>9</v>
      </c>
      <c r="T673" t="n">
        <v>9</v>
      </c>
      <c r="U673" t="inlineStr">
        <is>
          <t>2002-05-08</t>
        </is>
      </c>
      <c r="V673" t="inlineStr">
        <is>
          <t>2002-05-08</t>
        </is>
      </c>
      <c r="W673" t="inlineStr">
        <is>
          <t>1990-04-09</t>
        </is>
      </c>
      <c r="X673" t="inlineStr">
        <is>
          <t>1990-04-09</t>
        </is>
      </c>
      <c r="Y673" t="n">
        <v>55</v>
      </c>
      <c r="Z673" t="n">
        <v>45</v>
      </c>
      <c r="AA673" t="n">
        <v>675</v>
      </c>
      <c r="AB673" t="n">
        <v>2</v>
      </c>
      <c r="AC673" t="n">
        <v>7</v>
      </c>
      <c r="AD673" t="n">
        <v>1</v>
      </c>
      <c r="AE673" t="n">
        <v>19</v>
      </c>
      <c r="AF673" t="n">
        <v>0</v>
      </c>
      <c r="AG673" t="n">
        <v>7</v>
      </c>
      <c r="AH673" t="n">
        <v>1</v>
      </c>
      <c r="AI673" t="n">
        <v>4</v>
      </c>
      <c r="AJ673" t="n">
        <v>0</v>
      </c>
      <c r="AK673" t="n">
        <v>10</v>
      </c>
      <c r="AL673" t="n">
        <v>0</v>
      </c>
      <c r="AM673" t="n">
        <v>2</v>
      </c>
      <c r="AN673" t="n">
        <v>0</v>
      </c>
      <c r="AO673" t="n">
        <v>0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HYPERLINK("http://catalog.hathitrust.org/Record/102420362","HathiTrust Record")</f>
        <v/>
      </c>
      <c r="AS673">
        <f>HYPERLINK("https://creighton-primo.hosted.exlibrisgroup.com/primo-explore/search?tab=default_tab&amp;search_scope=EVERYTHING&amp;vid=01CRU&amp;lang=en_US&amp;offset=0&amp;query=any,contains,991004249789702656","Catalog Record")</f>
        <v/>
      </c>
      <c r="AT673">
        <f>HYPERLINK("http://www.worldcat.org/oclc/2806941","WorldCat Record")</f>
        <v/>
      </c>
      <c r="AU673" t="inlineStr">
        <is>
          <t>320398002:eng</t>
        </is>
      </c>
      <c r="AV673" t="inlineStr">
        <is>
          <t>2806941</t>
        </is>
      </c>
      <c r="AW673" t="inlineStr">
        <is>
          <t>991004249789702656</t>
        </is>
      </c>
      <c r="AX673" t="inlineStr">
        <is>
          <t>991004249789702656</t>
        </is>
      </c>
      <c r="AY673" t="inlineStr">
        <is>
          <t>2265466440002656</t>
        </is>
      </c>
      <c r="AZ673" t="inlineStr">
        <is>
          <t>BOOK</t>
        </is>
      </c>
      <c r="BC673" t="inlineStr">
        <is>
          <t>32285004468368</t>
        </is>
      </c>
      <c r="BD673" t="inlineStr">
        <is>
          <t>893535876</t>
        </is>
      </c>
    </row>
    <row r="674">
      <c r="A674" t="inlineStr">
        <is>
          <t>No</t>
        </is>
      </c>
      <c r="B674" t="inlineStr">
        <is>
          <t>BF575.F7 L3</t>
        </is>
      </c>
      <c r="C674" t="inlineStr">
        <is>
          <t>0                      BF 0575000F  7                  L  3</t>
        </is>
      </c>
      <c r="D674" t="inlineStr">
        <is>
          <t>Frustration; the development of a scientific concept [by] Reed Lawson.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Lawson, Reed, 1929-</t>
        </is>
      </c>
      <c r="L674" t="inlineStr">
        <is>
          <t>New York, Macmillan [1965]</t>
        </is>
      </c>
      <c r="M674" t="inlineStr">
        <is>
          <t>1965</t>
        </is>
      </c>
      <c r="O674" t="inlineStr">
        <is>
          <t>eng</t>
        </is>
      </c>
      <c r="P674" t="inlineStr">
        <is>
          <t>nyu</t>
        </is>
      </c>
      <c r="Q674" t="inlineStr">
        <is>
          <t>The Critical issues in psychology series</t>
        </is>
      </c>
      <c r="R674" t="inlineStr">
        <is>
          <t xml:space="preserve">BF </t>
        </is>
      </c>
      <c r="S674" t="n">
        <v>2</v>
      </c>
      <c r="T674" t="n">
        <v>2</v>
      </c>
      <c r="U674" t="inlineStr">
        <is>
          <t>2010-01-15</t>
        </is>
      </c>
      <c r="V674" t="inlineStr">
        <is>
          <t>2010-01-15</t>
        </is>
      </c>
      <c r="W674" t="inlineStr">
        <is>
          <t>1996-07-30</t>
        </is>
      </c>
      <c r="X674" t="inlineStr">
        <is>
          <t>1996-07-30</t>
        </is>
      </c>
      <c r="Y674" t="n">
        <v>622</v>
      </c>
      <c r="Z674" t="n">
        <v>491</v>
      </c>
      <c r="AA674" t="n">
        <v>499</v>
      </c>
      <c r="AB674" t="n">
        <v>5</v>
      </c>
      <c r="AC674" t="n">
        <v>5</v>
      </c>
      <c r="AD674" t="n">
        <v>18</v>
      </c>
      <c r="AE674" t="n">
        <v>18</v>
      </c>
      <c r="AF674" t="n">
        <v>7</v>
      </c>
      <c r="AG674" t="n">
        <v>7</v>
      </c>
      <c r="AH674" t="n">
        <v>2</v>
      </c>
      <c r="AI674" t="n">
        <v>2</v>
      </c>
      <c r="AJ674" t="n">
        <v>8</v>
      </c>
      <c r="AK674" t="n">
        <v>8</v>
      </c>
      <c r="AL674" t="n">
        <v>4</v>
      </c>
      <c r="AM674" t="n">
        <v>4</v>
      </c>
      <c r="AN674" t="n">
        <v>0</v>
      </c>
      <c r="AO674" t="n">
        <v>0</v>
      </c>
      <c r="AP674" t="inlineStr">
        <is>
          <t>No</t>
        </is>
      </c>
      <c r="AQ674" t="inlineStr">
        <is>
          <t>Yes</t>
        </is>
      </c>
      <c r="AR674">
        <f>HYPERLINK("http://catalog.hathitrust.org/Record/000360408","HathiTrust Record")</f>
        <v/>
      </c>
      <c r="AS674">
        <f>HYPERLINK("https://creighton-primo.hosted.exlibrisgroup.com/primo-explore/search?tab=default_tab&amp;search_scope=EVERYTHING&amp;vid=01CRU&amp;lang=en_US&amp;offset=0&amp;query=any,contains,991003430059702656","Catalog Record")</f>
        <v/>
      </c>
      <c r="AT674">
        <f>HYPERLINK("http://www.worldcat.org/oclc/965369","WorldCat Record")</f>
        <v/>
      </c>
      <c r="AU674" t="inlineStr">
        <is>
          <t>1919530:eng</t>
        </is>
      </c>
      <c r="AV674" t="inlineStr">
        <is>
          <t>965369</t>
        </is>
      </c>
      <c r="AW674" t="inlineStr">
        <is>
          <t>991003430059702656</t>
        </is>
      </c>
      <c r="AX674" t="inlineStr">
        <is>
          <t>991003430059702656</t>
        </is>
      </c>
      <c r="AY674" t="inlineStr">
        <is>
          <t>2258326500002656</t>
        </is>
      </c>
      <c r="AZ674" t="inlineStr">
        <is>
          <t>BOOK</t>
        </is>
      </c>
      <c r="BC674" t="inlineStr">
        <is>
          <t>32285002250131</t>
        </is>
      </c>
      <c r="BD674" t="inlineStr">
        <is>
          <t>893336482</t>
        </is>
      </c>
    </row>
    <row r="675">
      <c r="A675" t="inlineStr">
        <is>
          <t>No</t>
        </is>
      </c>
      <c r="B675" t="inlineStr">
        <is>
          <t>BF575.G7 C34</t>
        </is>
      </c>
      <c r="C675" t="inlineStr">
        <is>
          <t>0                      BF 0575000G  7                  C  34</t>
        </is>
      </c>
      <c r="D675" t="inlineStr">
        <is>
          <t>Widow.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Caine, Lynn.</t>
        </is>
      </c>
      <c r="L675" t="inlineStr">
        <is>
          <t>New York : Morrow, 1974.</t>
        </is>
      </c>
      <c r="M675" t="inlineStr">
        <is>
          <t>1974</t>
        </is>
      </c>
      <c r="O675" t="inlineStr">
        <is>
          <t>eng</t>
        </is>
      </c>
      <c r="P675" t="inlineStr">
        <is>
          <t>nyu</t>
        </is>
      </c>
      <c r="R675" t="inlineStr">
        <is>
          <t xml:space="preserve">BF </t>
        </is>
      </c>
      <c r="S675" t="n">
        <v>1</v>
      </c>
      <c r="T675" t="n">
        <v>1</v>
      </c>
      <c r="U675" t="inlineStr">
        <is>
          <t>2005-12-14</t>
        </is>
      </c>
      <c r="V675" t="inlineStr">
        <is>
          <t>2005-12-14</t>
        </is>
      </c>
      <c r="W675" t="inlineStr">
        <is>
          <t>1993-02-26</t>
        </is>
      </c>
      <c r="X675" t="inlineStr">
        <is>
          <t>1993-02-26</t>
        </is>
      </c>
      <c r="Y675" t="n">
        <v>1234</v>
      </c>
      <c r="Z675" t="n">
        <v>1186</v>
      </c>
      <c r="AA675" t="n">
        <v>1338</v>
      </c>
      <c r="AB675" t="n">
        <v>8</v>
      </c>
      <c r="AC675" t="n">
        <v>10</v>
      </c>
      <c r="AD675" t="n">
        <v>28</v>
      </c>
      <c r="AE675" t="n">
        <v>33</v>
      </c>
      <c r="AF675" t="n">
        <v>14</v>
      </c>
      <c r="AG675" t="n">
        <v>15</v>
      </c>
      <c r="AH675" t="n">
        <v>3</v>
      </c>
      <c r="AI675" t="n">
        <v>4</v>
      </c>
      <c r="AJ675" t="n">
        <v>14</v>
      </c>
      <c r="AK675" t="n">
        <v>15</v>
      </c>
      <c r="AL675" t="n">
        <v>4</v>
      </c>
      <c r="AM675" t="n">
        <v>6</v>
      </c>
      <c r="AN675" t="n">
        <v>0</v>
      </c>
      <c r="AO675" t="n">
        <v>0</v>
      </c>
      <c r="AP675" t="inlineStr">
        <is>
          <t>No</t>
        </is>
      </c>
      <c r="AQ675" t="inlineStr">
        <is>
          <t>Yes</t>
        </is>
      </c>
      <c r="AR675">
        <f>HYPERLINK("http://catalog.hathitrust.org/Record/000360542","HathiTrust Record")</f>
        <v/>
      </c>
      <c r="AS675">
        <f>HYPERLINK("https://creighton-primo.hosted.exlibrisgroup.com/primo-explore/search?tab=default_tab&amp;search_scope=EVERYTHING&amp;vid=01CRU&amp;lang=en_US&amp;offset=0&amp;query=any,contains,991003275629702656","Catalog Record")</f>
        <v/>
      </c>
      <c r="AT675">
        <f>HYPERLINK("http://www.worldcat.org/oclc/799811","WorldCat Record")</f>
        <v/>
      </c>
      <c r="AU675" t="inlineStr">
        <is>
          <t>435483:eng</t>
        </is>
      </c>
      <c r="AV675" t="inlineStr">
        <is>
          <t>799811</t>
        </is>
      </c>
      <c r="AW675" t="inlineStr">
        <is>
          <t>991003275629702656</t>
        </is>
      </c>
      <c r="AX675" t="inlineStr">
        <is>
          <t>991003275629702656</t>
        </is>
      </c>
      <c r="AY675" t="inlineStr">
        <is>
          <t>2266838350002656</t>
        </is>
      </c>
      <c r="AZ675" t="inlineStr">
        <is>
          <t>BOOK</t>
        </is>
      </c>
      <c r="BB675" t="inlineStr">
        <is>
          <t>9780688028503</t>
        </is>
      </c>
      <c r="BC675" t="inlineStr">
        <is>
          <t>32285001540136</t>
        </is>
      </c>
      <c r="BD675" t="inlineStr">
        <is>
          <t>893518323</t>
        </is>
      </c>
    </row>
    <row r="676">
      <c r="A676" t="inlineStr">
        <is>
          <t>No</t>
        </is>
      </c>
      <c r="B676" t="inlineStr">
        <is>
          <t>BF575.G7 C63 1987</t>
        </is>
      </c>
      <c r="C676" t="inlineStr">
        <is>
          <t>0                      BF 0575000G  7                  C  63          1987</t>
        </is>
      </c>
      <c r="D676" t="inlineStr">
        <is>
          <t>The meaning of grief : a dramaturgical approach to undestanding emotion / Larry Cochran and Emily Claspell.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Cochran, Larry.</t>
        </is>
      </c>
      <c r="L676" t="inlineStr">
        <is>
          <t>New York : Greenwood Press, 1987.</t>
        </is>
      </c>
      <c r="M676" t="inlineStr">
        <is>
          <t>1987</t>
        </is>
      </c>
      <c r="O676" t="inlineStr">
        <is>
          <t>eng</t>
        </is>
      </c>
      <c r="P676" t="inlineStr">
        <is>
          <t>nyu</t>
        </is>
      </c>
      <c r="Q676" t="inlineStr">
        <is>
          <t>Contributions in psychology, 0736-2714 ; no. 8</t>
        </is>
      </c>
      <c r="R676" t="inlineStr">
        <is>
          <t xml:space="preserve">BF </t>
        </is>
      </c>
      <c r="S676" t="n">
        <v>8</v>
      </c>
      <c r="T676" t="n">
        <v>8</v>
      </c>
      <c r="U676" t="inlineStr">
        <is>
          <t>1999-11-16</t>
        </is>
      </c>
      <c r="V676" t="inlineStr">
        <is>
          <t>1999-11-16</t>
        </is>
      </c>
      <c r="W676" t="inlineStr">
        <is>
          <t>1992-02-06</t>
        </is>
      </c>
      <c r="X676" t="inlineStr">
        <is>
          <t>1992-02-06</t>
        </is>
      </c>
      <c r="Y676" t="n">
        <v>289</v>
      </c>
      <c r="Z676" t="n">
        <v>246</v>
      </c>
      <c r="AA676" t="n">
        <v>253</v>
      </c>
      <c r="AB676" t="n">
        <v>2</v>
      </c>
      <c r="AC676" t="n">
        <v>2</v>
      </c>
      <c r="AD676" t="n">
        <v>13</v>
      </c>
      <c r="AE676" t="n">
        <v>13</v>
      </c>
      <c r="AF676" t="n">
        <v>5</v>
      </c>
      <c r="AG676" t="n">
        <v>5</v>
      </c>
      <c r="AH676" t="n">
        <v>4</v>
      </c>
      <c r="AI676" t="n">
        <v>4</v>
      </c>
      <c r="AJ676" t="n">
        <v>6</v>
      </c>
      <c r="AK676" t="n">
        <v>6</v>
      </c>
      <c r="AL676" t="n">
        <v>1</v>
      </c>
      <c r="AM676" t="n">
        <v>1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HYPERLINK("http://catalog.hathitrust.org/Record/002485185","HathiTrust Record")</f>
        <v/>
      </c>
      <c r="AS676">
        <f>HYPERLINK("https://creighton-primo.hosted.exlibrisgroup.com/primo-explore/search?tab=default_tab&amp;search_scope=EVERYTHING&amp;vid=01CRU&amp;lang=en_US&amp;offset=0&amp;query=any,contains,991000957379702656","Catalog Record")</f>
        <v/>
      </c>
      <c r="AT676">
        <f>HYPERLINK("http://www.worldcat.org/oclc/14719652","WorldCat Record")</f>
        <v/>
      </c>
      <c r="AU676" t="inlineStr">
        <is>
          <t>2613563:eng</t>
        </is>
      </c>
      <c r="AV676" t="inlineStr">
        <is>
          <t>14719652</t>
        </is>
      </c>
      <c r="AW676" t="inlineStr">
        <is>
          <t>991000957379702656</t>
        </is>
      </c>
      <c r="AX676" t="inlineStr">
        <is>
          <t>991000957379702656</t>
        </is>
      </c>
      <c r="AY676" t="inlineStr">
        <is>
          <t>2254887250002656</t>
        </is>
      </c>
      <c r="AZ676" t="inlineStr">
        <is>
          <t>BOOK</t>
        </is>
      </c>
      <c r="BB676" t="inlineStr">
        <is>
          <t>9780313256073</t>
        </is>
      </c>
      <c r="BC676" t="inlineStr">
        <is>
          <t>32285000943208</t>
        </is>
      </c>
      <c r="BD676" t="inlineStr">
        <is>
          <t>893690189</t>
        </is>
      </c>
    </row>
    <row r="677">
      <c r="A677" t="inlineStr">
        <is>
          <t>No</t>
        </is>
      </c>
      <c r="B677" t="inlineStr">
        <is>
          <t>BF575.G7 E33 1984</t>
        </is>
      </c>
      <c r="C677" t="inlineStr">
        <is>
          <t>0                      BF 0575000G  7                  E  33          1984</t>
        </is>
      </c>
      <c r="D677" t="inlineStr">
        <is>
          <t>Maternal bereavement : coping with the unexpected death of a child / Linda Edelstein.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Edelstein, Linda.</t>
        </is>
      </c>
      <c r="L677" t="inlineStr">
        <is>
          <t>New York : Praeger, 1984.</t>
        </is>
      </c>
      <c r="M677" t="inlineStr">
        <is>
          <t>1984</t>
        </is>
      </c>
      <c r="O677" t="inlineStr">
        <is>
          <t>eng</t>
        </is>
      </c>
      <c r="P677" t="inlineStr">
        <is>
          <t>nyu</t>
        </is>
      </c>
      <c r="R677" t="inlineStr">
        <is>
          <t xml:space="preserve">BF </t>
        </is>
      </c>
      <c r="S677" t="n">
        <v>8</v>
      </c>
      <c r="T677" t="n">
        <v>8</v>
      </c>
      <c r="U677" t="inlineStr">
        <is>
          <t>2002-04-24</t>
        </is>
      </c>
      <c r="V677" t="inlineStr">
        <is>
          <t>2002-04-24</t>
        </is>
      </c>
      <c r="W677" t="inlineStr">
        <is>
          <t>1993-04-16</t>
        </is>
      </c>
      <c r="X677" t="inlineStr">
        <is>
          <t>1993-04-16</t>
        </is>
      </c>
      <c r="Y677" t="n">
        <v>475</v>
      </c>
      <c r="Z677" t="n">
        <v>407</v>
      </c>
      <c r="AA677" t="n">
        <v>415</v>
      </c>
      <c r="AB677" t="n">
        <v>5</v>
      </c>
      <c r="AC677" t="n">
        <v>5</v>
      </c>
      <c r="AD677" t="n">
        <v>22</v>
      </c>
      <c r="AE677" t="n">
        <v>22</v>
      </c>
      <c r="AF677" t="n">
        <v>6</v>
      </c>
      <c r="AG677" t="n">
        <v>6</v>
      </c>
      <c r="AH677" t="n">
        <v>6</v>
      </c>
      <c r="AI677" t="n">
        <v>6</v>
      </c>
      <c r="AJ677" t="n">
        <v>12</v>
      </c>
      <c r="AK677" t="n">
        <v>12</v>
      </c>
      <c r="AL677" t="n">
        <v>4</v>
      </c>
      <c r="AM677" t="n">
        <v>4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HYPERLINK("http://catalog.hathitrust.org/Record/000164043","HathiTrust Record")</f>
        <v/>
      </c>
      <c r="AS677">
        <f>HYPERLINK("https://creighton-primo.hosted.exlibrisgroup.com/primo-explore/search?tab=default_tab&amp;search_scope=EVERYTHING&amp;vid=01CRU&amp;lang=en_US&amp;offset=0&amp;query=any,contains,991000302069702656","Catalog Record")</f>
        <v/>
      </c>
      <c r="AT677">
        <f>HYPERLINK("http://www.worldcat.org/oclc/10023366","WorldCat Record")</f>
        <v/>
      </c>
      <c r="AU677" t="inlineStr">
        <is>
          <t>227780959:eng</t>
        </is>
      </c>
      <c r="AV677" t="inlineStr">
        <is>
          <t>10023366</t>
        </is>
      </c>
      <c r="AW677" t="inlineStr">
        <is>
          <t>991000302069702656</t>
        </is>
      </c>
      <c r="AX677" t="inlineStr">
        <is>
          <t>991000302069702656</t>
        </is>
      </c>
      <c r="AY677" t="inlineStr">
        <is>
          <t>2268692770002656</t>
        </is>
      </c>
      <c r="AZ677" t="inlineStr">
        <is>
          <t>BOOK</t>
        </is>
      </c>
      <c r="BB677" t="inlineStr">
        <is>
          <t>9780030639081</t>
        </is>
      </c>
      <c r="BC677" t="inlineStr">
        <is>
          <t>32285001621472</t>
        </is>
      </c>
      <c r="BD677" t="inlineStr">
        <is>
          <t>893890569</t>
        </is>
      </c>
    </row>
    <row r="678">
      <c r="A678" t="inlineStr">
        <is>
          <t>No</t>
        </is>
      </c>
      <c r="B678" t="inlineStr">
        <is>
          <t>BF575.G7 F73</t>
        </is>
      </c>
      <c r="C678" t="inlineStr">
        <is>
          <t>0                      BF 0575000G  7                  F  73</t>
        </is>
      </c>
      <c r="D678" t="inlineStr">
        <is>
          <t>Help for your grief : Arthur Freese.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K678" t="inlineStr">
        <is>
          <t>Freese, Arthur S.</t>
        </is>
      </c>
      <c r="L678" t="inlineStr">
        <is>
          <t>New York : Schocken Books, 1977.</t>
        </is>
      </c>
      <c r="M678" t="inlineStr">
        <is>
          <t>1977</t>
        </is>
      </c>
      <c r="O678" t="inlineStr">
        <is>
          <t>eng</t>
        </is>
      </c>
      <c r="P678" t="inlineStr">
        <is>
          <t>nyu</t>
        </is>
      </c>
      <c r="R678" t="inlineStr">
        <is>
          <t xml:space="preserve">BF </t>
        </is>
      </c>
      <c r="S678" t="n">
        <v>8</v>
      </c>
      <c r="T678" t="n">
        <v>8</v>
      </c>
      <c r="U678" t="inlineStr">
        <is>
          <t>2002-07-08</t>
        </is>
      </c>
      <c r="V678" t="inlineStr">
        <is>
          <t>2002-07-08</t>
        </is>
      </c>
      <c r="W678" t="inlineStr">
        <is>
          <t>1990-03-27</t>
        </is>
      </c>
      <c r="X678" t="inlineStr">
        <is>
          <t>1990-03-27</t>
        </is>
      </c>
      <c r="Y678" t="n">
        <v>280</v>
      </c>
      <c r="Z678" t="n">
        <v>257</v>
      </c>
      <c r="AA678" t="n">
        <v>258</v>
      </c>
      <c r="AB678" t="n">
        <v>3</v>
      </c>
      <c r="AC678" t="n">
        <v>3</v>
      </c>
      <c r="AD678" t="n">
        <v>12</v>
      </c>
      <c r="AE678" t="n">
        <v>12</v>
      </c>
      <c r="AF678" t="n">
        <v>5</v>
      </c>
      <c r="AG678" t="n">
        <v>5</v>
      </c>
      <c r="AH678" t="n">
        <v>3</v>
      </c>
      <c r="AI678" t="n">
        <v>3</v>
      </c>
      <c r="AJ678" t="n">
        <v>8</v>
      </c>
      <c r="AK678" t="n">
        <v>8</v>
      </c>
      <c r="AL678" t="n">
        <v>1</v>
      </c>
      <c r="AM678" t="n">
        <v>1</v>
      </c>
      <c r="AN678" t="n">
        <v>0</v>
      </c>
      <c r="AO678" t="n">
        <v>0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HYPERLINK("http://catalog.hathitrust.org/Record/000745622","HathiTrust Record")</f>
        <v/>
      </c>
      <c r="AS678">
        <f>HYPERLINK("https://creighton-primo.hosted.exlibrisgroup.com/primo-explore/search?tab=default_tab&amp;search_scope=EVERYTHING&amp;vid=01CRU&amp;lang=en_US&amp;offset=0&amp;query=any,contains,991004129219702656","Catalog Record")</f>
        <v/>
      </c>
      <c r="AT678">
        <f>HYPERLINK("http://www.worldcat.org/oclc/2463668","WorldCat Record")</f>
        <v/>
      </c>
      <c r="AU678" t="inlineStr">
        <is>
          <t>4981753:eng</t>
        </is>
      </c>
      <c r="AV678" t="inlineStr">
        <is>
          <t>2463668</t>
        </is>
      </c>
      <c r="AW678" t="inlineStr">
        <is>
          <t>991004129219702656</t>
        </is>
      </c>
      <c r="AX678" t="inlineStr">
        <is>
          <t>991004129219702656</t>
        </is>
      </c>
      <c r="AY678" t="inlineStr">
        <is>
          <t>2269495160002656</t>
        </is>
      </c>
      <c r="AZ678" t="inlineStr">
        <is>
          <t>BOOK</t>
        </is>
      </c>
      <c r="BB678" t="inlineStr">
        <is>
          <t>9780805236408</t>
        </is>
      </c>
      <c r="BC678" t="inlineStr">
        <is>
          <t>32285000097963</t>
        </is>
      </c>
      <c r="BD678" t="inlineStr">
        <is>
          <t>893712191</t>
        </is>
      </c>
    </row>
    <row r="679">
      <c r="A679" t="inlineStr">
        <is>
          <t>No</t>
        </is>
      </c>
      <c r="B679" t="inlineStr">
        <is>
          <t>BF575.G7 G63</t>
        </is>
      </c>
      <c r="C679" t="inlineStr">
        <is>
          <t>0                      BF 0575000G  7                  G  63</t>
        </is>
      </c>
      <c r="D679" t="inlineStr">
        <is>
          <t>The first year of bereavement / [by] Ira O. Glick, Robert S. Weiss [and] C. Murray Parkes.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Glick, Ira O. (Ira Oscar), 1927-</t>
        </is>
      </c>
      <c r="L679" t="inlineStr">
        <is>
          <t>New York : Wiley, [1974]</t>
        </is>
      </c>
      <c r="M679" t="inlineStr">
        <is>
          <t>1974</t>
        </is>
      </c>
      <c r="O679" t="inlineStr">
        <is>
          <t>eng</t>
        </is>
      </c>
      <c r="P679" t="inlineStr">
        <is>
          <t>nyu</t>
        </is>
      </c>
      <c r="R679" t="inlineStr">
        <is>
          <t xml:space="preserve">BF </t>
        </is>
      </c>
      <c r="S679" t="n">
        <v>5</v>
      </c>
      <c r="T679" t="n">
        <v>5</v>
      </c>
      <c r="U679" t="inlineStr">
        <is>
          <t>2009-10-08</t>
        </is>
      </c>
      <c r="V679" t="inlineStr">
        <is>
          <t>2009-10-08</t>
        </is>
      </c>
      <c r="W679" t="inlineStr">
        <is>
          <t>1990-09-21</t>
        </is>
      </c>
      <c r="X679" t="inlineStr">
        <is>
          <t>1990-09-21</t>
        </is>
      </c>
      <c r="Y679" t="n">
        <v>718</v>
      </c>
      <c r="Z679" t="n">
        <v>593</v>
      </c>
      <c r="AA679" t="n">
        <v>599</v>
      </c>
      <c r="AB679" t="n">
        <v>6</v>
      </c>
      <c r="AC679" t="n">
        <v>6</v>
      </c>
      <c r="AD679" t="n">
        <v>28</v>
      </c>
      <c r="AE679" t="n">
        <v>28</v>
      </c>
      <c r="AF679" t="n">
        <v>8</v>
      </c>
      <c r="AG679" t="n">
        <v>8</v>
      </c>
      <c r="AH679" t="n">
        <v>7</v>
      </c>
      <c r="AI679" t="n">
        <v>7</v>
      </c>
      <c r="AJ679" t="n">
        <v>14</v>
      </c>
      <c r="AK679" t="n">
        <v>14</v>
      </c>
      <c r="AL679" t="n">
        <v>4</v>
      </c>
      <c r="AM679" t="n">
        <v>4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HYPERLINK("http://catalog.hathitrust.org/Record/000015647","HathiTrust Record")</f>
        <v/>
      </c>
      <c r="AS679">
        <f>HYPERLINK("https://creighton-primo.hosted.exlibrisgroup.com/primo-explore/search?tab=default_tab&amp;search_scope=EVERYTHING&amp;vid=01CRU&amp;lang=en_US&amp;offset=0&amp;query=any,contains,991003434949702656","Catalog Record")</f>
        <v/>
      </c>
      <c r="AT679">
        <f>HYPERLINK("http://www.worldcat.org/oclc/969757","WorldCat Record")</f>
        <v/>
      </c>
      <c r="AU679" t="inlineStr">
        <is>
          <t>1926694:eng</t>
        </is>
      </c>
      <c r="AV679" t="inlineStr">
        <is>
          <t>969757</t>
        </is>
      </c>
      <c r="AW679" t="inlineStr">
        <is>
          <t>991003434949702656</t>
        </is>
      </c>
      <c r="AX679" t="inlineStr">
        <is>
          <t>991003434949702656</t>
        </is>
      </c>
      <c r="AY679" t="inlineStr">
        <is>
          <t>2260831390002656</t>
        </is>
      </c>
      <c r="AZ679" t="inlineStr">
        <is>
          <t>BOOK</t>
        </is>
      </c>
      <c r="BB679" t="inlineStr">
        <is>
          <t>9780471304210</t>
        </is>
      </c>
      <c r="BC679" t="inlineStr">
        <is>
          <t>32285000307883</t>
        </is>
      </c>
      <c r="BD679" t="inlineStr">
        <is>
          <t>893611035</t>
        </is>
      </c>
    </row>
    <row r="680">
      <c r="A680" t="inlineStr">
        <is>
          <t>No</t>
        </is>
      </c>
      <c r="B680" t="inlineStr">
        <is>
          <t>BF575.G7 G73 1988</t>
        </is>
      </c>
      <c r="C680" t="inlineStr">
        <is>
          <t>0                      BF 0575000G  7                  G  73          1988</t>
        </is>
      </c>
      <c r="D680" t="inlineStr">
        <is>
          <t>Grief and the loss of an adult child / edited by Otto S. Margolis ... [et al.] ; with the editorial assistance of Lillian G. Kutscher.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L680" t="inlineStr">
        <is>
          <t>New York : Praeger, 1988.</t>
        </is>
      </c>
      <c r="M680" t="inlineStr">
        <is>
          <t>1988</t>
        </is>
      </c>
      <c r="O680" t="inlineStr">
        <is>
          <t>eng</t>
        </is>
      </c>
      <c r="P680" t="inlineStr">
        <is>
          <t>nyu</t>
        </is>
      </c>
      <c r="Q680" t="inlineStr">
        <is>
          <t>The Foundation of Thanatology series ; v. 8</t>
        </is>
      </c>
      <c r="R680" t="inlineStr">
        <is>
          <t xml:space="preserve">BF </t>
        </is>
      </c>
      <c r="S680" t="n">
        <v>14</v>
      </c>
      <c r="T680" t="n">
        <v>14</v>
      </c>
      <c r="U680" t="inlineStr">
        <is>
          <t>1999-09-13</t>
        </is>
      </c>
      <c r="V680" t="inlineStr">
        <is>
          <t>1999-09-13</t>
        </is>
      </c>
      <c r="W680" t="inlineStr">
        <is>
          <t>1990-04-03</t>
        </is>
      </c>
      <c r="X680" t="inlineStr">
        <is>
          <t>1990-04-03</t>
        </is>
      </c>
      <c r="Y680" t="n">
        <v>291</v>
      </c>
      <c r="Z680" t="n">
        <v>251</v>
      </c>
      <c r="AA680" t="n">
        <v>259</v>
      </c>
      <c r="AB680" t="n">
        <v>3</v>
      </c>
      <c r="AC680" t="n">
        <v>3</v>
      </c>
      <c r="AD680" t="n">
        <v>11</v>
      </c>
      <c r="AE680" t="n">
        <v>11</v>
      </c>
      <c r="AF680" t="n">
        <v>3</v>
      </c>
      <c r="AG680" t="n">
        <v>3</v>
      </c>
      <c r="AH680" t="n">
        <v>3</v>
      </c>
      <c r="AI680" t="n">
        <v>3</v>
      </c>
      <c r="AJ680" t="n">
        <v>7</v>
      </c>
      <c r="AK680" t="n">
        <v>7</v>
      </c>
      <c r="AL680" t="n">
        <v>2</v>
      </c>
      <c r="AM680" t="n">
        <v>2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HYPERLINK("http://catalog.hathitrust.org/Record/000877009","HathiTrust Record")</f>
        <v/>
      </c>
      <c r="AS680">
        <f>HYPERLINK("https://creighton-primo.hosted.exlibrisgroup.com/primo-explore/search?tab=default_tab&amp;search_scope=EVERYTHING&amp;vid=01CRU&amp;lang=en_US&amp;offset=0&amp;query=any,contains,991001094349702656","Catalog Record")</f>
        <v/>
      </c>
      <c r="AT680">
        <f>HYPERLINK("http://www.worldcat.org/oclc/16227631","WorldCat Record")</f>
        <v/>
      </c>
      <c r="AU680" t="inlineStr">
        <is>
          <t>374064325:eng</t>
        </is>
      </c>
      <c r="AV680" t="inlineStr">
        <is>
          <t>16227631</t>
        </is>
      </c>
      <c r="AW680" t="inlineStr">
        <is>
          <t>991001094349702656</t>
        </is>
      </c>
      <c r="AX680" t="inlineStr">
        <is>
          <t>991001094349702656</t>
        </is>
      </c>
      <c r="AY680" t="inlineStr">
        <is>
          <t>2264844760002656</t>
        </is>
      </c>
      <c r="AZ680" t="inlineStr">
        <is>
          <t>BOOK</t>
        </is>
      </c>
      <c r="BB680" t="inlineStr">
        <is>
          <t>9780275913045</t>
        </is>
      </c>
      <c r="BC680" t="inlineStr">
        <is>
          <t>32285000108653</t>
        </is>
      </c>
      <c r="BD680" t="inlineStr">
        <is>
          <t>893797289</t>
        </is>
      </c>
    </row>
    <row r="681">
      <c r="A681" t="inlineStr">
        <is>
          <t>No</t>
        </is>
      </c>
      <c r="B681" t="inlineStr">
        <is>
          <t>BF575.G7 R36 1983</t>
        </is>
      </c>
      <c r="C681" t="inlineStr">
        <is>
          <t>0                      BF 0575000G  7                  R  36          1983</t>
        </is>
      </c>
      <c r="D681" t="inlineStr">
        <is>
          <t>The anatomy of bereavement / Beverley Raphael.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Raphael, Beverley.</t>
        </is>
      </c>
      <c r="L681" t="inlineStr">
        <is>
          <t>New York : Basic Books, c1983.</t>
        </is>
      </c>
      <c r="M681" t="inlineStr">
        <is>
          <t>1983</t>
        </is>
      </c>
      <c r="O681" t="inlineStr">
        <is>
          <t>eng</t>
        </is>
      </c>
      <c r="P681" t="inlineStr">
        <is>
          <t>nyu</t>
        </is>
      </c>
      <c r="R681" t="inlineStr">
        <is>
          <t xml:space="preserve">BF </t>
        </is>
      </c>
      <c r="S681" t="n">
        <v>7</v>
      </c>
      <c r="T681" t="n">
        <v>7</v>
      </c>
      <c r="U681" t="inlineStr">
        <is>
          <t>1999-09-22</t>
        </is>
      </c>
      <c r="V681" t="inlineStr">
        <is>
          <t>1999-09-22</t>
        </is>
      </c>
      <c r="W681" t="inlineStr">
        <is>
          <t>1990-03-02</t>
        </is>
      </c>
      <c r="X681" t="inlineStr">
        <is>
          <t>1990-03-02</t>
        </is>
      </c>
      <c r="Y681" t="n">
        <v>1101</v>
      </c>
      <c r="Z681" t="n">
        <v>991</v>
      </c>
      <c r="AA681" t="n">
        <v>1044</v>
      </c>
      <c r="AB681" t="n">
        <v>8</v>
      </c>
      <c r="AC681" t="n">
        <v>8</v>
      </c>
      <c r="AD681" t="n">
        <v>36</v>
      </c>
      <c r="AE681" t="n">
        <v>39</v>
      </c>
      <c r="AF681" t="n">
        <v>15</v>
      </c>
      <c r="AG681" t="n">
        <v>17</v>
      </c>
      <c r="AH681" t="n">
        <v>8</v>
      </c>
      <c r="AI681" t="n">
        <v>9</v>
      </c>
      <c r="AJ681" t="n">
        <v>15</v>
      </c>
      <c r="AK681" t="n">
        <v>17</v>
      </c>
      <c r="AL681" t="n">
        <v>6</v>
      </c>
      <c r="AM681" t="n">
        <v>6</v>
      </c>
      <c r="AN681" t="n">
        <v>0</v>
      </c>
      <c r="AO681" t="n">
        <v>0</v>
      </c>
      <c r="AP681" t="inlineStr">
        <is>
          <t>No</t>
        </is>
      </c>
      <c r="AQ681" t="inlineStr">
        <is>
          <t>Yes</t>
        </is>
      </c>
      <c r="AR681">
        <f>HYPERLINK("http://catalog.hathitrust.org/Record/000776389","HathiTrust Record")</f>
        <v/>
      </c>
      <c r="AS681">
        <f>HYPERLINK("https://creighton-primo.hosted.exlibrisgroup.com/primo-explore/search?tab=default_tab&amp;search_scope=EVERYTHING&amp;vid=01CRU&amp;lang=en_US&amp;offset=0&amp;query=any,contains,991000216089702656","Catalog Record")</f>
        <v/>
      </c>
      <c r="AT681">
        <f>HYPERLINK("http://www.worldcat.org/oclc/9557712","WorldCat Record")</f>
        <v/>
      </c>
      <c r="AU681" t="inlineStr">
        <is>
          <t>5163335134:eng</t>
        </is>
      </c>
      <c r="AV681" t="inlineStr">
        <is>
          <t>9557712</t>
        </is>
      </c>
      <c r="AW681" t="inlineStr">
        <is>
          <t>991000216089702656</t>
        </is>
      </c>
      <c r="AX681" t="inlineStr">
        <is>
          <t>991000216089702656</t>
        </is>
      </c>
      <c r="AY681" t="inlineStr">
        <is>
          <t>2266797760002656</t>
        </is>
      </c>
      <c r="AZ681" t="inlineStr">
        <is>
          <t>BOOK</t>
        </is>
      </c>
      <c r="BB681" t="inlineStr">
        <is>
          <t>9780465002894</t>
        </is>
      </c>
      <c r="BC681" t="inlineStr">
        <is>
          <t>32285000075712</t>
        </is>
      </c>
      <c r="BD681" t="inlineStr">
        <is>
          <t>893683250</t>
        </is>
      </c>
    </row>
    <row r="682">
      <c r="A682" t="inlineStr">
        <is>
          <t>No</t>
        </is>
      </c>
      <c r="B682" t="inlineStr">
        <is>
          <t>BF575.L3 H45</t>
        </is>
      </c>
      <c r="C682" t="inlineStr">
        <is>
          <t>0                      BF 0575000L  3                  H  45</t>
        </is>
      </c>
      <c r="D682" t="inlineStr">
        <is>
          <t>Laughter : a socio-scientific analysis / [by] Joyce O. Hertzler.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Hertzler, Joyce Oramel, 1895-1975.</t>
        </is>
      </c>
      <c r="L682" t="inlineStr">
        <is>
          <t>New York : Exposition Press, [1970]</t>
        </is>
      </c>
      <c r="M682" t="inlineStr">
        <is>
          <t>1970</t>
        </is>
      </c>
      <c r="N682" t="inlineStr">
        <is>
          <t>[1st ed.]</t>
        </is>
      </c>
      <c r="O682" t="inlineStr">
        <is>
          <t>eng</t>
        </is>
      </c>
      <c r="P682" t="inlineStr">
        <is>
          <t>nyu</t>
        </is>
      </c>
      <c r="Q682" t="inlineStr">
        <is>
          <t>An Exposition-university book</t>
        </is>
      </c>
      <c r="R682" t="inlineStr">
        <is>
          <t xml:space="preserve">BF </t>
        </is>
      </c>
      <c r="S682" t="n">
        <v>13</v>
      </c>
      <c r="T682" t="n">
        <v>13</v>
      </c>
      <c r="U682" t="inlineStr">
        <is>
          <t>2006-09-24</t>
        </is>
      </c>
      <c r="V682" t="inlineStr">
        <is>
          <t>2006-09-24</t>
        </is>
      </c>
      <c r="W682" t="inlineStr">
        <is>
          <t>1992-09-30</t>
        </is>
      </c>
      <c r="X682" t="inlineStr">
        <is>
          <t>1992-09-30</t>
        </is>
      </c>
      <c r="Y682" t="n">
        <v>293</v>
      </c>
      <c r="Z682" t="n">
        <v>245</v>
      </c>
      <c r="AA682" t="n">
        <v>247</v>
      </c>
      <c r="AB682" t="n">
        <v>5</v>
      </c>
      <c r="AC682" t="n">
        <v>5</v>
      </c>
      <c r="AD682" t="n">
        <v>11</v>
      </c>
      <c r="AE682" t="n">
        <v>11</v>
      </c>
      <c r="AF682" t="n">
        <v>3</v>
      </c>
      <c r="AG682" t="n">
        <v>3</v>
      </c>
      <c r="AH682" t="n">
        <v>2</v>
      </c>
      <c r="AI682" t="n">
        <v>2</v>
      </c>
      <c r="AJ682" t="n">
        <v>5</v>
      </c>
      <c r="AK682" t="n">
        <v>5</v>
      </c>
      <c r="AL682" t="n">
        <v>2</v>
      </c>
      <c r="AM682" t="n">
        <v>2</v>
      </c>
      <c r="AN682" t="n">
        <v>0</v>
      </c>
      <c r="AO682" t="n">
        <v>0</v>
      </c>
      <c r="AP682" t="inlineStr">
        <is>
          <t>No</t>
        </is>
      </c>
      <c r="AQ682" t="inlineStr">
        <is>
          <t>Yes</t>
        </is>
      </c>
      <c r="AR682">
        <f>HYPERLINK("http://catalog.hathitrust.org/Record/000381634","HathiTrust Record")</f>
        <v/>
      </c>
      <c r="AS682">
        <f>HYPERLINK("https://creighton-primo.hosted.exlibrisgroup.com/primo-explore/search?tab=default_tab&amp;search_scope=EVERYTHING&amp;vid=01CRU&amp;lang=en_US&amp;offset=0&amp;query=any,contains,991000546879702656","Catalog Record")</f>
        <v/>
      </c>
      <c r="AT682">
        <f>HYPERLINK("http://www.worldcat.org/oclc/91607","WorldCat Record")</f>
        <v/>
      </c>
      <c r="AU682" t="inlineStr">
        <is>
          <t>765994922:eng</t>
        </is>
      </c>
      <c r="AV682" t="inlineStr">
        <is>
          <t>91607</t>
        </is>
      </c>
      <c r="AW682" t="inlineStr">
        <is>
          <t>991000546879702656</t>
        </is>
      </c>
      <c r="AX682" t="inlineStr">
        <is>
          <t>991000546879702656</t>
        </is>
      </c>
      <c r="AY682" t="inlineStr">
        <is>
          <t>2264683420002656</t>
        </is>
      </c>
      <c r="AZ682" t="inlineStr">
        <is>
          <t>BOOK</t>
        </is>
      </c>
      <c r="BB682" t="inlineStr">
        <is>
          <t>9780682471183</t>
        </is>
      </c>
      <c r="BC682" t="inlineStr">
        <is>
          <t>32285001323053</t>
        </is>
      </c>
      <c r="BD682" t="inlineStr">
        <is>
          <t>893261514</t>
        </is>
      </c>
    </row>
    <row r="683">
      <c r="A683" t="inlineStr">
        <is>
          <t>No</t>
        </is>
      </c>
      <c r="B683" t="inlineStr">
        <is>
          <t>BF575.L3 J6513 1980</t>
        </is>
      </c>
      <c r="C683" t="inlineStr">
        <is>
          <t>0                      BF 0575000L  3                  J  6513        1980</t>
        </is>
      </c>
      <c r="D683" t="inlineStr">
        <is>
          <t>Treatise on laughter / Laurent Joubert ; translated and annotated by Gregory David de Rocher.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Joubert, Laurent, 1529-1583.</t>
        </is>
      </c>
      <c r="L683" t="inlineStr">
        <is>
          <t>University : University of Alabama Press, c1980.</t>
        </is>
      </c>
      <c r="M683" t="inlineStr">
        <is>
          <t>1980</t>
        </is>
      </c>
      <c r="O683" t="inlineStr">
        <is>
          <t>eng</t>
        </is>
      </c>
      <c r="P683" t="inlineStr">
        <is>
          <t>alu</t>
        </is>
      </c>
      <c r="R683" t="inlineStr">
        <is>
          <t xml:space="preserve">BF </t>
        </is>
      </c>
      <c r="S683" t="n">
        <v>3</v>
      </c>
      <c r="T683" t="n">
        <v>3</v>
      </c>
      <c r="U683" t="inlineStr">
        <is>
          <t>2009-01-28</t>
        </is>
      </c>
      <c r="V683" t="inlineStr">
        <is>
          <t>2009-01-28</t>
        </is>
      </c>
      <c r="W683" t="inlineStr">
        <is>
          <t>1992-12-10</t>
        </is>
      </c>
      <c r="X683" t="inlineStr">
        <is>
          <t>1992-12-10</t>
        </is>
      </c>
      <c r="Y683" t="n">
        <v>373</v>
      </c>
      <c r="Z683" t="n">
        <v>316</v>
      </c>
      <c r="AA683" t="n">
        <v>349</v>
      </c>
      <c r="AB683" t="n">
        <v>4</v>
      </c>
      <c r="AC683" t="n">
        <v>4</v>
      </c>
      <c r="AD683" t="n">
        <v>16</v>
      </c>
      <c r="AE683" t="n">
        <v>16</v>
      </c>
      <c r="AF683" t="n">
        <v>2</v>
      </c>
      <c r="AG683" t="n">
        <v>2</v>
      </c>
      <c r="AH683" t="n">
        <v>5</v>
      </c>
      <c r="AI683" t="n">
        <v>5</v>
      </c>
      <c r="AJ683" t="n">
        <v>9</v>
      </c>
      <c r="AK683" t="n">
        <v>9</v>
      </c>
      <c r="AL683" t="n">
        <v>3</v>
      </c>
      <c r="AM683" t="n">
        <v>3</v>
      </c>
      <c r="AN683" t="n">
        <v>0</v>
      </c>
      <c r="AO683" t="n">
        <v>0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HYPERLINK("https://creighton-primo.hosted.exlibrisgroup.com/primo-explore/search?tab=default_tab&amp;search_scope=EVERYTHING&amp;vid=01CRU&amp;lang=en_US&amp;offset=0&amp;query=any,contains,991004791279702656","Catalog Record")</f>
        <v/>
      </c>
      <c r="AT683">
        <f>HYPERLINK("http://www.worldcat.org/oclc/5171239","WorldCat Record")</f>
        <v/>
      </c>
      <c r="AU683" t="inlineStr">
        <is>
          <t>5342780408:eng</t>
        </is>
      </c>
      <c r="AV683" t="inlineStr">
        <is>
          <t>5171239</t>
        </is>
      </c>
      <c r="AW683" t="inlineStr">
        <is>
          <t>991004791279702656</t>
        </is>
      </c>
      <c r="AX683" t="inlineStr">
        <is>
          <t>991004791279702656</t>
        </is>
      </c>
      <c r="AY683" t="inlineStr">
        <is>
          <t>2258760590002656</t>
        </is>
      </c>
      <c r="AZ683" t="inlineStr">
        <is>
          <t>BOOK</t>
        </is>
      </c>
      <c r="BB683" t="inlineStr">
        <is>
          <t>9780817300296</t>
        </is>
      </c>
      <c r="BC683" t="inlineStr">
        <is>
          <t>32285001441145</t>
        </is>
      </c>
      <c r="BD683" t="inlineStr">
        <is>
          <t>893260175</t>
        </is>
      </c>
    </row>
    <row r="684">
      <c r="A684" t="inlineStr">
        <is>
          <t>No</t>
        </is>
      </c>
      <c r="B684" t="inlineStr">
        <is>
          <t>BF575.L3 P5713</t>
        </is>
      </c>
      <c r="C684" t="inlineStr">
        <is>
          <t>0                      BF 0575000L  3                  P  5713</t>
        </is>
      </c>
      <c r="D684" t="inlineStr">
        <is>
          <t>Laughing and crying : a study of the limits of human behavior / translated by James Spencer Churchill and Marjorie Grene. With a foreword by Marjorie Grene.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Plessner, Helmuth, 1892-1985.</t>
        </is>
      </c>
      <c r="L684" t="inlineStr">
        <is>
          <t>Evanston : Northwestern University Press, 1970.</t>
        </is>
      </c>
      <c r="M684" t="inlineStr">
        <is>
          <t>1970</t>
        </is>
      </c>
      <c r="O684" t="inlineStr">
        <is>
          <t>eng</t>
        </is>
      </c>
      <c r="P684" t="inlineStr">
        <is>
          <t>ilu</t>
        </is>
      </c>
      <c r="Q684" t="inlineStr">
        <is>
          <t>Northwestern University studies in phenomenology &amp; existential philosophy</t>
        </is>
      </c>
      <c r="R684" t="inlineStr">
        <is>
          <t xml:space="preserve">BF </t>
        </is>
      </c>
      <c r="S684" t="n">
        <v>5</v>
      </c>
      <c r="T684" t="n">
        <v>5</v>
      </c>
      <c r="U684" t="inlineStr">
        <is>
          <t>1997-04-27</t>
        </is>
      </c>
      <c r="V684" t="inlineStr">
        <is>
          <t>1997-04-27</t>
        </is>
      </c>
      <c r="W684" t="inlineStr">
        <is>
          <t>1993-02-26</t>
        </is>
      </c>
      <c r="X684" t="inlineStr">
        <is>
          <t>1993-02-26</t>
        </is>
      </c>
      <c r="Y684" t="n">
        <v>493</v>
      </c>
      <c r="Z684" t="n">
        <v>428</v>
      </c>
      <c r="AA684" t="n">
        <v>431</v>
      </c>
      <c r="AB684" t="n">
        <v>3</v>
      </c>
      <c r="AC684" t="n">
        <v>3</v>
      </c>
      <c r="AD684" t="n">
        <v>26</v>
      </c>
      <c r="AE684" t="n">
        <v>26</v>
      </c>
      <c r="AF684" t="n">
        <v>8</v>
      </c>
      <c r="AG684" t="n">
        <v>8</v>
      </c>
      <c r="AH684" t="n">
        <v>6</v>
      </c>
      <c r="AI684" t="n">
        <v>6</v>
      </c>
      <c r="AJ684" t="n">
        <v>18</v>
      </c>
      <c r="AK684" t="n">
        <v>18</v>
      </c>
      <c r="AL684" t="n">
        <v>2</v>
      </c>
      <c r="AM684" t="n">
        <v>2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HYPERLINK("http://catalog.hathitrust.org/Record/000381662","HathiTrust Record")</f>
        <v/>
      </c>
      <c r="AS684">
        <f>HYPERLINK("https://creighton-primo.hosted.exlibrisgroup.com/primo-explore/search?tab=default_tab&amp;search_scope=EVERYTHING&amp;vid=01CRU&amp;lang=en_US&amp;offset=0&amp;query=any,contains,991000636719702656","Catalog Record")</f>
        <v/>
      </c>
      <c r="AT684">
        <f>HYPERLINK("http://www.worldcat.org/oclc/108063","WorldCat Record")</f>
        <v/>
      </c>
      <c r="AU684" t="inlineStr">
        <is>
          <t>4924210551:eng</t>
        </is>
      </c>
      <c r="AV684" t="inlineStr">
        <is>
          <t>108063</t>
        </is>
      </c>
      <c r="AW684" t="inlineStr">
        <is>
          <t>991000636719702656</t>
        </is>
      </c>
      <c r="AX684" t="inlineStr">
        <is>
          <t>991000636719702656</t>
        </is>
      </c>
      <c r="AY684" t="inlineStr">
        <is>
          <t>2261947930002656</t>
        </is>
      </c>
      <c r="AZ684" t="inlineStr">
        <is>
          <t>BOOK</t>
        </is>
      </c>
      <c r="BC684" t="inlineStr">
        <is>
          <t>32285001540110</t>
        </is>
      </c>
      <c r="BD684" t="inlineStr">
        <is>
          <t>893878222</t>
        </is>
      </c>
    </row>
    <row r="685">
      <c r="A685" t="inlineStr">
        <is>
          <t>No</t>
        </is>
      </c>
      <c r="B685" t="inlineStr">
        <is>
          <t>BF575.L7 B87 1985</t>
        </is>
      </c>
      <c r="C685" t="inlineStr">
        <is>
          <t>0                      BF 0575000L  7                  B  87          1985</t>
        </is>
      </c>
      <c r="D685" t="inlineStr">
        <is>
          <t>Intimate connections : the new and clinically tested program for overcoming loneliness developed at the Presbyterian-University of Pennsylvania Medical Center / David D. Burns.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Burns, David D.</t>
        </is>
      </c>
      <c r="L685" t="inlineStr">
        <is>
          <t>New York : Morrow, c1985.</t>
        </is>
      </c>
      <c r="M685" t="inlineStr">
        <is>
          <t>1985</t>
        </is>
      </c>
      <c r="N685" t="inlineStr">
        <is>
          <t>1st ed.</t>
        </is>
      </c>
      <c r="O685" t="inlineStr">
        <is>
          <t>eng</t>
        </is>
      </c>
      <c r="P685" t="inlineStr">
        <is>
          <t>nyu</t>
        </is>
      </c>
      <c r="R685" t="inlineStr">
        <is>
          <t xml:space="preserve">BF </t>
        </is>
      </c>
      <c r="S685" t="n">
        <v>6</v>
      </c>
      <c r="T685" t="n">
        <v>6</v>
      </c>
      <c r="U685" t="inlineStr">
        <is>
          <t>2000-06-19</t>
        </is>
      </c>
      <c r="V685" t="inlineStr">
        <is>
          <t>2000-06-19</t>
        </is>
      </c>
      <c r="W685" t="inlineStr">
        <is>
          <t>1993-03-31</t>
        </is>
      </c>
      <c r="X685" t="inlineStr">
        <is>
          <t>1993-03-31</t>
        </is>
      </c>
      <c r="Y685" t="n">
        <v>509</v>
      </c>
      <c r="Z685" t="n">
        <v>483</v>
      </c>
      <c r="AA685" t="n">
        <v>615</v>
      </c>
      <c r="AB685" t="n">
        <v>7</v>
      </c>
      <c r="AC685" t="n">
        <v>8</v>
      </c>
      <c r="AD685" t="n">
        <v>7</v>
      </c>
      <c r="AE685" t="n">
        <v>13</v>
      </c>
      <c r="AF685" t="n">
        <v>0</v>
      </c>
      <c r="AG685" t="n">
        <v>2</v>
      </c>
      <c r="AH685" t="n">
        <v>0</v>
      </c>
      <c r="AI685" t="n">
        <v>3</v>
      </c>
      <c r="AJ685" t="n">
        <v>4</v>
      </c>
      <c r="AK685" t="n">
        <v>5</v>
      </c>
      <c r="AL685" t="n">
        <v>3</v>
      </c>
      <c r="AM685" t="n">
        <v>4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HYPERLINK("http://catalog.hathitrust.org/Record/000437845","HathiTrust Record")</f>
        <v/>
      </c>
      <c r="AS685">
        <f>HYPERLINK("https://creighton-primo.hosted.exlibrisgroup.com/primo-explore/search?tab=default_tab&amp;search_scope=EVERYTHING&amp;vid=01CRU&amp;lang=en_US&amp;offset=0&amp;query=any,contains,991000528349702656","Catalog Record")</f>
        <v/>
      </c>
      <c r="AT685">
        <f>HYPERLINK("http://www.worldcat.org/oclc/11375731","WorldCat Record")</f>
        <v/>
      </c>
      <c r="AU685" t="inlineStr">
        <is>
          <t>884853:eng</t>
        </is>
      </c>
      <c r="AV685" t="inlineStr">
        <is>
          <t>11375731</t>
        </is>
      </c>
      <c r="AW685" t="inlineStr">
        <is>
          <t>991000528349702656</t>
        </is>
      </c>
      <c r="AX685" t="inlineStr">
        <is>
          <t>991000528349702656</t>
        </is>
      </c>
      <c r="AY685" t="inlineStr">
        <is>
          <t>2256611580002656</t>
        </is>
      </c>
      <c r="AZ685" t="inlineStr">
        <is>
          <t>BOOK</t>
        </is>
      </c>
      <c r="BB685" t="inlineStr">
        <is>
          <t>9780688017460</t>
        </is>
      </c>
      <c r="BC685" t="inlineStr">
        <is>
          <t>32285001596146</t>
        </is>
      </c>
      <c r="BD685" t="inlineStr">
        <is>
          <t>893620555</t>
        </is>
      </c>
    </row>
    <row r="686">
      <c r="A686" t="inlineStr">
        <is>
          <t>No</t>
        </is>
      </c>
      <c r="B686" t="inlineStr">
        <is>
          <t>BF575.L7 L66 1982</t>
        </is>
      </c>
      <c r="C686" t="inlineStr">
        <is>
          <t>0                      BF 0575000L  7                  L  66          1982</t>
        </is>
      </c>
      <c r="D686" t="inlineStr">
        <is>
          <t>Loneliness : a sourcebook of current theory, research, and therapy / edited by Letitia Anne Peplau, Daniel Perlman.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L686" t="inlineStr">
        <is>
          <t>New York : Wiley, c1982.</t>
        </is>
      </c>
      <c r="M686" t="inlineStr">
        <is>
          <t>1982</t>
        </is>
      </c>
      <c r="O686" t="inlineStr">
        <is>
          <t>eng</t>
        </is>
      </c>
      <c r="P686" t="inlineStr">
        <is>
          <t>nyu</t>
        </is>
      </c>
      <c r="Q686" t="inlineStr">
        <is>
          <t>Wiley series on personality processes, 0195-4008</t>
        </is>
      </c>
      <c r="R686" t="inlineStr">
        <is>
          <t xml:space="preserve">BF </t>
        </is>
      </c>
      <c r="S686" t="n">
        <v>7</v>
      </c>
      <c r="T686" t="n">
        <v>7</v>
      </c>
      <c r="U686" t="inlineStr">
        <is>
          <t>2002-06-24</t>
        </is>
      </c>
      <c r="V686" t="inlineStr">
        <is>
          <t>2002-06-24</t>
        </is>
      </c>
      <c r="W686" t="inlineStr">
        <is>
          <t>1992-03-20</t>
        </is>
      </c>
      <c r="X686" t="inlineStr">
        <is>
          <t>1992-03-20</t>
        </is>
      </c>
      <c r="Y686" t="n">
        <v>941</v>
      </c>
      <c r="Z686" t="n">
        <v>775</v>
      </c>
      <c r="AA686" t="n">
        <v>777</v>
      </c>
      <c r="AB686" t="n">
        <v>8</v>
      </c>
      <c r="AC686" t="n">
        <v>8</v>
      </c>
      <c r="AD686" t="n">
        <v>44</v>
      </c>
      <c r="AE686" t="n">
        <v>44</v>
      </c>
      <c r="AF686" t="n">
        <v>21</v>
      </c>
      <c r="AG686" t="n">
        <v>21</v>
      </c>
      <c r="AH686" t="n">
        <v>10</v>
      </c>
      <c r="AI686" t="n">
        <v>10</v>
      </c>
      <c r="AJ686" t="n">
        <v>20</v>
      </c>
      <c r="AK686" t="n">
        <v>20</v>
      </c>
      <c r="AL686" t="n">
        <v>6</v>
      </c>
      <c r="AM686" t="n">
        <v>6</v>
      </c>
      <c r="AN686" t="n">
        <v>0</v>
      </c>
      <c r="AO686" t="n">
        <v>0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HYPERLINK("http://catalog.hathitrust.org/Record/000762797","HathiTrust Record")</f>
        <v/>
      </c>
      <c r="AS686">
        <f>HYPERLINK("https://creighton-primo.hosted.exlibrisgroup.com/primo-explore/search?tab=default_tab&amp;search_scope=EVERYTHING&amp;vid=01CRU&amp;lang=en_US&amp;offset=0&amp;query=any,contains,991005182379702656","Catalog Record")</f>
        <v/>
      </c>
      <c r="AT686">
        <f>HYPERLINK("http://www.worldcat.org/oclc/7947089","WorldCat Record")</f>
        <v/>
      </c>
      <c r="AU686" t="inlineStr">
        <is>
          <t>890098539:eng</t>
        </is>
      </c>
      <c r="AV686" t="inlineStr">
        <is>
          <t>7947089</t>
        </is>
      </c>
      <c r="AW686" t="inlineStr">
        <is>
          <t>991005182379702656</t>
        </is>
      </c>
      <c r="AX686" t="inlineStr">
        <is>
          <t>991005182379702656</t>
        </is>
      </c>
      <c r="AY686" t="inlineStr">
        <is>
          <t>2270068080002656</t>
        </is>
      </c>
      <c r="AZ686" t="inlineStr">
        <is>
          <t>BOOK</t>
        </is>
      </c>
      <c r="BB686" t="inlineStr">
        <is>
          <t>9780471080282</t>
        </is>
      </c>
      <c r="BC686" t="inlineStr">
        <is>
          <t>32285001025153</t>
        </is>
      </c>
      <c r="BD686" t="inlineStr">
        <is>
          <t>893230333</t>
        </is>
      </c>
    </row>
    <row r="687">
      <c r="A687" t="inlineStr">
        <is>
          <t>No</t>
        </is>
      </c>
      <c r="B687" t="inlineStr">
        <is>
          <t>BF575.L7 M63 1961</t>
        </is>
      </c>
      <c r="C687" t="inlineStr">
        <is>
          <t>0                      BF 0575000L  7                  M  63          1961</t>
        </is>
      </c>
      <c r="D687" t="inlineStr">
        <is>
          <t>Loneliness / Clark E. Moustakas.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Moustakas, Clark E.</t>
        </is>
      </c>
      <c r="L687" t="inlineStr">
        <is>
          <t>[Englewood Cliffs, N.J.] : Prentice-Hall, [1961]</t>
        </is>
      </c>
      <c r="M687" t="inlineStr">
        <is>
          <t>1961</t>
        </is>
      </c>
      <c r="O687" t="inlineStr">
        <is>
          <t>eng</t>
        </is>
      </c>
      <c r="P687" t="inlineStr">
        <is>
          <t>nju</t>
        </is>
      </c>
      <c r="Q687" t="inlineStr">
        <is>
          <t>A Spectrum Book ; S-15</t>
        </is>
      </c>
      <c r="R687" t="inlineStr">
        <is>
          <t xml:space="preserve">BF </t>
        </is>
      </c>
      <c r="S687" t="n">
        <v>3</v>
      </c>
      <c r="T687" t="n">
        <v>3</v>
      </c>
      <c r="U687" t="inlineStr">
        <is>
          <t>2003-11-04</t>
        </is>
      </c>
      <c r="V687" t="inlineStr">
        <is>
          <t>2003-11-04</t>
        </is>
      </c>
      <c r="W687" t="inlineStr">
        <is>
          <t>1992-05-05</t>
        </is>
      </c>
      <c r="X687" t="inlineStr">
        <is>
          <t>1992-05-05</t>
        </is>
      </c>
      <c r="Y687" t="n">
        <v>206</v>
      </c>
      <c r="Z687" t="n">
        <v>183</v>
      </c>
      <c r="AA687" t="n">
        <v>839</v>
      </c>
      <c r="AB687" t="n">
        <v>1</v>
      </c>
      <c r="AC687" t="n">
        <v>5</v>
      </c>
      <c r="AD687" t="n">
        <v>10</v>
      </c>
      <c r="AE687" t="n">
        <v>31</v>
      </c>
      <c r="AF687" t="n">
        <v>3</v>
      </c>
      <c r="AG687" t="n">
        <v>12</v>
      </c>
      <c r="AH687" t="n">
        <v>5</v>
      </c>
      <c r="AI687" t="n">
        <v>8</v>
      </c>
      <c r="AJ687" t="n">
        <v>5</v>
      </c>
      <c r="AK687" t="n">
        <v>17</v>
      </c>
      <c r="AL687" t="n">
        <v>0</v>
      </c>
      <c r="AM687" t="n">
        <v>3</v>
      </c>
      <c r="AN687" t="n">
        <v>0</v>
      </c>
      <c r="AO687" t="n">
        <v>0</v>
      </c>
      <c r="AP687" t="inlineStr">
        <is>
          <t>No</t>
        </is>
      </c>
      <c r="AQ687" t="inlineStr">
        <is>
          <t>No</t>
        </is>
      </c>
      <c r="AS687">
        <f>HYPERLINK("https://creighton-primo.hosted.exlibrisgroup.com/primo-explore/search?tab=default_tab&amp;search_scope=EVERYTHING&amp;vid=01CRU&amp;lang=en_US&amp;offset=0&amp;query=any,contains,991003209799702656","Catalog Record")</f>
        <v/>
      </c>
      <c r="AT687">
        <f>HYPERLINK("http://www.worldcat.org/oclc/735896","WorldCat Record")</f>
        <v/>
      </c>
      <c r="AU687" t="inlineStr">
        <is>
          <t>1151008790:eng</t>
        </is>
      </c>
      <c r="AV687" t="inlineStr">
        <is>
          <t>735896</t>
        </is>
      </c>
      <c r="AW687" t="inlineStr">
        <is>
          <t>991003209799702656</t>
        </is>
      </c>
      <c r="AX687" t="inlineStr">
        <is>
          <t>991003209799702656</t>
        </is>
      </c>
      <c r="AY687" t="inlineStr">
        <is>
          <t>2257681770002656</t>
        </is>
      </c>
      <c r="AZ687" t="inlineStr">
        <is>
          <t>BOOK</t>
        </is>
      </c>
      <c r="BC687" t="inlineStr">
        <is>
          <t>32285001068716</t>
        </is>
      </c>
      <c r="BD687" t="inlineStr">
        <is>
          <t>893410016</t>
        </is>
      </c>
    </row>
    <row r="688">
      <c r="A688" t="inlineStr">
        <is>
          <t>No</t>
        </is>
      </c>
      <c r="B688" t="inlineStr">
        <is>
          <t>BF575.L7 R57</t>
        </is>
      </c>
      <c r="C688" t="inlineStr">
        <is>
          <t>0                      BF 0575000L  7                  R  57</t>
        </is>
      </c>
      <c r="D688" t="inlineStr">
        <is>
          <t>Walking with loneliness / Paula Ripple.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K688" t="inlineStr">
        <is>
          <t>Comin, Paula Ripple.</t>
        </is>
      </c>
      <c r="L688" t="inlineStr">
        <is>
          <t>Notre Dame, Ind. : Ave Maria Press, 1982.</t>
        </is>
      </c>
      <c r="M688" t="inlineStr">
        <is>
          <t>1982</t>
        </is>
      </c>
      <c r="O688" t="inlineStr">
        <is>
          <t>eng</t>
        </is>
      </c>
      <c r="P688" t="inlineStr">
        <is>
          <t>inu</t>
        </is>
      </c>
      <c r="R688" t="inlineStr">
        <is>
          <t xml:space="preserve">BF </t>
        </is>
      </c>
      <c r="S688" t="n">
        <v>7</v>
      </c>
      <c r="T688" t="n">
        <v>7</v>
      </c>
      <c r="U688" t="inlineStr">
        <is>
          <t>2001-04-04</t>
        </is>
      </c>
      <c r="V688" t="inlineStr">
        <is>
          <t>2001-04-04</t>
        </is>
      </c>
      <c r="W688" t="inlineStr">
        <is>
          <t>1990-07-11</t>
        </is>
      </c>
      <c r="X688" t="inlineStr">
        <is>
          <t>1990-07-11</t>
        </is>
      </c>
      <c r="Y688" t="n">
        <v>133</v>
      </c>
      <c r="Z688" t="n">
        <v>114</v>
      </c>
      <c r="AA688" t="n">
        <v>156</v>
      </c>
      <c r="AB688" t="n">
        <v>3</v>
      </c>
      <c r="AC688" t="n">
        <v>4</v>
      </c>
      <c r="AD688" t="n">
        <v>13</v>
      </c>
      <c r="AE688" t="n">
        <v>13</v>
      </c>
      <c r="AF688" t="n">
        <v>3</v>
      </c>
      <c r="AG688" t="n">
        <v>3</v>
      </c>
      <c r="AH688" t="n">
        <v>2</v>
      </c>
      <c r="AI688" t="n">
        <v>2</v>
      </c>
      <c r="AJ688" t="n">
        <v>9</v>
      </c>
      <c r="AK688" t="n">
        <v>9</v>
      </c>
      <c r="AL688" t="n">
        <v>1</v>
      </c>
      <c r="AM688" t="n">
        <v>1</v>
      </c>
      <c r="AN688" t="n">
        <v>0</v>
      </c>
      <c r="AO688" t="n">
        <v>0</v>
      </c>
      <c r="AP688" t="inlineStr">
        <is>
          <t>No</t>
        </is>
      </c>
      <c r="AQ688" t="inlineStr">
        <is>
          <t>No</t>
        </is>
      </c>
      <c r="AS688">
        <f>HYPERLINK("https://creighton-primo.hosted.exlibrisgroup.com/primo-explore/search?tab=default_tab&amp;search_scope=EVERYTHING&amp;vid=01CRU&amp;lang=en_US&amp;offset=0&amp;query=any,contains,991000114919702656","Catalog Record")</f>
        <v/>
      </c>
      <c r="AT688">
        <f>HYPERLINK("http://www.worldcat.org/oclc/9031753","WorldCat Record")</f>
        <v/>
      </c>
      <c r="AU688" t="inlineStr">
        <is>
          <t>3580303:eng</t>
        </is>
      </c>
      <c r="AV688" t="inlineStr">
        <is>
          <t>9031753</t>
        </is>
      </c>
      <c r="AW688" t="inlineStr">
        <is>
          <t>991000114919702656</t>
        </is>
      </c>
      <c r="AX688" t="inlineStr">
        <is>
          <t>991000114919702656</t>
        </is>
      </c>
      <c r="AY688" t="inlineStr">
        <is>
          <t>2266638520002656</t>
        </is>
      </c>
      <c r="AZ688" t="inlineStr">
        <is>
          <t>BOOK</t>
        </is>
      </c>
      <c r="BB688" t="inlineStr">
        <is>
          <t>9780877932598</t>
        </is>
      </c>
      <c r="BC688" t="inlineStr">
        <is>
          <t>32285000223999</t>
        </is>
      </c>
      <c r="BD688" t="inlineStr">
        <is>
          <t>893783983</t>
        </is>
      </c>
    </row>
    <row r="689">
      <c r="A689" t="inlineStr">
        <is>
          <t>No</t>
        </is>
      </c>
      <c r="B689" t="inlineStr">
        <is>
          <t>BF575.L7 W44</t>
        </is>
      </c>
      <c r="C689" t="inlineStr">
        <is>
          <t>0                      BF 0575000L  7                  W  44</t>
        </is>
      </c>
      <c r="D689" t="inlineStr">
        <is>
          <t>Loneliness: the experience of emotional and social isolation [by] Robert S. Weiss, with contributions by John Bowlby [and others] Foreword by David Riesman.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Weiss, Robert Stuart, 1925-</t>
        </is>
      </c>
      <c r="L689" t="inlineStr">
        <is>
          <t>Cambridge, Mass., MIT Press [1974, c1973]</t>
        </is>
      </c>
      <c r="M689" t="inlineStr">
        <is>
          <t>1974</t>
        </is>
      </c>
      <c r="O689" t="inlineStr">
        <is>
          <t>eng</t>
        </is>
      </c>
      <c r="P689" t="inlineStr">
        <is>
          <t>mau</t>
        </is>
      </c>
      <c r="R689" t="inlineStr">
        <is>
          <t xml:space="preserve">BF </t>
        </is>
      </c>
      <c r="S689" t="n">
        <v>1</v>
      </c>
      <c r="T689" t="n">
        <v>1</v>
      </c>
      <c r="U689" t="inlineStr">
        <is>
          <t>2002-11-13</t>
        </is>
      </c>
      <c r="V689" t="inlineStr">
        <is>
          <t>2002-11-13</t>
        </is>
      </c>
      <c r="W689" t="inlineStr">
        <is>
          <t>1996-07-30</t>
        </is>
      </c>
      <c r="X689" t="inlineStr">
        <is>
          <t>1996-07-30</t>
        </is>
      </c>
      <c r="Y689" t="n">
        <v>852</v>
      </c>
      <c r="Z689" t="n">
        <v>794</v>
      </c>
      <c r="AA689" t="n">
        <v>825</v>
      </c>
      <c r="AB689" t="n">
        <v>6</v>
      </c>
      <c r="AC689" t="n">
        <v>6</v>
      </c>
      <c r="AD689" t="n">
        <v>33</v>
      </c>
      <c r="AE689" t="n">
        <v>33</v>
      </c>
      <c r="AF689" t="n">
        <v>14</v>
      </c>
      <c r="AG689" t="n">
        <v>14</v>
      </c>
      <c r="AH689" t="n">
        <v>6</v>
      </c>
      <c r="AI689" t="n">
        <v>6</v>
      </c>
      <c r="AJ689" t="n">
        <v>15</v>
      </c>
      <c r="AK689" t="n">
        <v>15</v>
      </c>
      <c r="AL689" t="n">
        <v>4</v>
      </c>
      <c r="AM689" t="n">
        <v>4</v>
      </c>
      <c r="AN689" t="n">
        <v>0</v>
      </c>
      <c r="AO689" t="n">
        <v>0</v>
      </c>
      <c r="AP689" t="inlineStr">
        <is>
          <t>No</t>
        </is>
      </c>
      <c r="AQ689" t="inlineStr">
        <is>
          <t>No</t>
        </is>
      </c>
      <c r="AS689">
        <f>HYPERLINK("https://creighton-primo.hosted.exlibrisgroup.com/primo-explore/search?tab=default_tab&amp;search_scope=EVERYTHING&amp;vid=01CRU&amp;lang=en_US&amp;offset=0&amp;query=any,contains,991003114129702656","Catalog Record")</f>
        <v/>
      </c>
      <c r="AT689">
        <f>HYPERLINK("http://www.worldcat.org/oclc/659037","WorldCat Record")</f>
        <v/>
      </c>
      <c r="AU689" t="inlineStr">
        <is>
          <t>1634770:eng</t>
        </is>
      </c>
      <c r="AV689" t="inlineStr">
        <is>
          <t>659037</t>
        </is>
      </c>
      <c r="AW689" t="inlineStr">
        <is>
          <t>991003114129702656</t>
        </is>
      </c>
      <c r="AX689" t="inlineStr">
        <is>
          <t>991003114129702656</t>
        </is>
      </c>
      <c r="AY689" t="inlineStr">
        <is>
          <t>2260702050002656</t>
        </is>
      </c>
      <c r="AZ689" t="inlineStr">
        <is>
          <t>BOOK</t>
        </is>
      </c>
      <c r="BB689" t="inlineStr">
        <is>
          <t>9780262230674</t>
        </is>
      </c>
      <c r="BC689" t="inlineStr">
        <is>
          <t>32285002250149</t>
        </is>
      </c>
      <c r="BD689" t="inlineStr">
        <is>
          <t>893721792</t>
        </is>
      </c>
    </row>
    <row r="690">
      <c r="A690" t="inlineStr">
        <is>
          <t>No</t>
        </is>
      </c>
      <c r="B690" t="inlineStr">
        <is>
          <t>BF575.L8 D3 1947</t>
        </is>
      </c>
      <c r="C690" t="inlineStr">
        <is>
          <t>0                      BF 0575000L  8                  D  3           1947</t>
        </is>
      </c>
      <c r="D690" t="inlineStr">
        <is>
          <t>The mind and heart of love, lion and unicorn; a study in Eros and agape, by M.C. D'Arcy.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D'Arcy, Martin Cyril, 1888-1976.</t>
        </is>
      </c>
      <c r="L690" t="inlineStr">
        <is>
          <t>New York, H. Holt and Co. [1947]</t>
        </is>
      </c>
      <c r="M690" t="inlineStr">
        <is>
          <t>1947</t>
        </is>
      </c>
      <c r="O690" t="inlineStr">
        <is>
          <t>eng</t>
        </is>
      </c>
      <c r="P690" t="inlineStr">
        <is>
          <t>nyu</t>
        </is>
      </c>
      <c r="R690" t="inlineStr">
        <is>
          <t xml:space="preserve">BF </t>
        </is>
      </c>
      <c r="S690" t="n">
        <v>5</v>
      </c>
      <c r="T690" t="n">
        <v>5</v>
      </c>
      <c r="U690" t="inlineStr">
        <is>
          <t>2000-12-10</t>
        </is>
      </c>
      <c r="V690" t="inlineStr">
        <is>
          <t>2000-12-10</t>
        </is>
      </c>
      <c r="W690" t="inlineStr">
        <is>
          <t>1996-07-30</t>
        </is>
      </c>
      <c r="X690" t="inlineStr">
        <is>
          <t>1996-07-30</t>
        </is>
      </c>
      <c r="Y690" t="n">
        <v>270</v>
      </c>
      <c r="Z690" t="n">
        <v>255</v>
      </c>
      <c r="AA690" t="n">
        <v>620</v>
      </c>
      <c r="AB690" t="n">
        <v>2</v>
      </c>
      <c r="AC690" t="n">
        <v>5</v>
      </c>
      <c r="AD690" t="n">
        <v>20</v>
      </c>
      <c r="AE690" t="n">
        <v>36</v>
      </c>
      <c r="AF690" t="n">
        <v>7</v>
      </c>
      <c r="AG690" t="n">
        <v>14</v>
      </c>
      <c r="AH690" t="n">
        <v>2</v>
      </c>
      <c r="AI690" t="n">
        <v>6</v>
      </c>
      <c r="AJ690" t="n">
        <v>18</v>
      </c>
      <c r="AK690" t="n">
        <v>24</v>
      </c>
      <c r="AL690" t="n">
        <v>0</v>
      </c>
      <c r="AM690" t="n">
        <v>3</v>
      </c>
      <c r="AN690" t="n">
        <v>0</v>
      </c>
      <c r="AO690" t="n">
        <v>0</v>
      </c>
      <c r="AP690" t="inlineStr">
        <is>
          <t>No</t>
        </is>
      </c>
      <c r="AQ690" t="inlineStr">
        <is>
          <t>Yes</t>
        </is>
      </c>
      <c r="AR690">
        <f>HYPERLINK("http://catalog.hathitrust.org/Record/000387513","HathiTrust Record")</f>
        <v/>
      </c>
      <c r="AS690">
        <f>HYPERLINK("https://creighton-primo.hosted.exlibrisgroup.com/primo-explore/search?tab=default_tab&amp;search_scope=EVERYTHING&amp;vid=01CRU&amp;lang=en_US&amp;offset=0&amp;query=any,contains,991003657559702656","Catalog Record")</f>
        <v/>
      </c>
      <c r="AT690">
        <f>HYPERLINK("http://www.worldcat.org/oclc/1263585","WorldCat Record")</f>
        <v/>
      </c>
      <c r="AU690" t="inlineStr">
        <is>
          <t>1628878:eng</t>
        </is>
      </c>
      <c r="AV690" t="inlineStr">
        <is>
          <t>1263585</t>
        </is>
      </c>
      <c r="AW690" t="inlineStr">
        <is>
          <t>991003657559702656</t>
        </is>
      </c>
      <c r="AX690" t="inlineStr">
        <is>
          <t>991003657559702656</t>
        </is>
      </c>
      <c r="AY690" t="inlineStr">
        <is>
          <t>2262450050002656</t>
        </is>
      </c>
      <c r="AZ690" t="inlineStr">
        <is>
          <t>BOOK</t>
        </is>
      </c>
      <c r="BC690" t="inlineStr">
        <is>
          <t>32285002250156</t>
        </is>
      </c>
      <c r="BD690" t="inlineStr">
        <is>
          <t>893617568</t>
        </is>
      </c>
    </row>
    <row r="691">
      <c r="A691" t="inlineStr">
        <is>
          <t>No</t>
        </is>
      </c>
      <c r="B691" t="inlineStr">
        <is>
          <t>BF575.L8 J63 1983</t>
        </is>
      </c>
      <c r="C691" t="inlineStr">
        <is>
          <t>0                      BF 0575000L  8                  J  63          1983</t>
        </is>
      </c>
      <c r="D691" t="inlineStr">
        <is>
          <t>We, understanding the psychology of romantic love / Robert A. Johnson.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Johnson, Robert A., 1921-2018.</t>
        </is>
      </c>
      <c r="L691" t="inlineStr">
        <is>
          <t>San Francisco : Harper &amp; Row, c1983.</t>
        </is>
      </c>
      <c r="M691" t="inlineStr">
        <is>
          <t>1983</t>
        </is>
      </c>
      <c r="N691" t="inlineStr">
        <is>
          <t>1st ed.</t>
        </is>
      </c>
      <c r="O691" t="inlineStr">
        <is>
          <t>eng</t>
        </is>
      </c>
      <c r="P691" t="inlineStr">
        <is>
          <t>cau</t>
        </is>
      </c>
      <c r="R691" t="inlineStr">
        <is>
          <t xml:space="preserve">BF </t>
        </is>
      </c>
      <c r="S691" t="n">
        <v>8</v>
      </c>
      <c r="T691" t="n">
        <v>8</v>
      </c>
      <c r="U691" t="inlineStr">
        <is>
          <t>2003-07-10</t>
        </is>
      </c>
      <c r="V691" t="inlineStr">
        <is>
          <t>2003-07-10</t>
        </is>
      </c>
      <c r="W691" t="inlineStr">
        <is>
          <t>1992-01-28</t>
        </is>
      </c>
      <c r="X691" t="inlineStr">
        <is>
          <t>1992-01-28</t>
        </is>
      </c>
      <c r="Y691" t="n">
        <v>761</v>
      </c>
      <c r="Z691" t="n">
        <v>698</v>
      </c>
      <c r="AA691" t="n">
        <v>840</v>
      </c>
      <c r="AB691" t="n">
        <v>5</v>
      </c>
      <c r="AC691" t="n">
        <v>5</v>
      </c>
      <c r="AD691" t="n">
        <v>18</v>
      </c>
      <c r="AE691" t="n">
        <v>20</v>
      </c>
      <c r="AF691" t="n">
        <v>7</v>
      </c>
      <c r="AG691" t="n">
        <v>8</v>
      </c>
      <c r="AH691" t="n">
        <v>2</v>
      </c>
      <c r="AI691" t="n">
        <v>2</v>
      </c>
      <c r="AJ691" t="n">
        <v>9</v>
      </c>
      <c r="AK691" t="n">
        <v>11</v>
      </c>
      <c r="AL691" t="n">
        <v>2</v>
      </c>
      <c r="AM691" t="n">
        <v>2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HYPERLINK("https://creighton-primo.hosted.exlibrisgroup.com/primo-explore/search?tab=default_tab&amp;search_scope=EVERYTHING&amp;vid=01CRU&amp;lang=en_US&amp;offset=0&amp;query=any,contains,991000283189702656","Catalog Record")</f>
        <v/>
      </c>
      <c r="AT691">
        <f>HYPERLINK("http://www.worldcat.org/oclc/9919807","WorldCat Record")</f>
        <v/>
      </c>
      <c r="AU691" t="inlineStr">
        <is>
          <t>17942181:eng</t>
        </is>
      </c>
      <c r="AV691" t="inlineStr">
        <is>
          <t>9919807</t>
        </is>
      </c>
      <c r="AW691" t="inlineStr">
        <is>
          <t>991000283189702656</t>
        </is>
      </c>
      <c r="AX691" t="inlineStr">
        <is>
          <t>991000283189702656</t>
        </is>
      </c>
      <c r="AY691" t="inlineStr">
        <is>
          <t>2268129820002656</t>
        </is>
      </c>
      <c r="AZ691" t="inlineStr">
        <is>
          <t>BOOK</t>
        </is>
      </c>
      <c r="BB691" t="inlineStr">
        <is>
          <t>9780062504357</t>
        </is>
      </c>
      <c r="BC691" t="inlineStr">
        <is>
          <t>32285000930270</t>
        </is>
      </c>
      <c r="BD691" t="inlineStr">
        <is>
          <t>893695726</t>
        </is>
      </c>
    </row>
    <row r="692">
      <c r="A692" t="inlineStr">
        <is>
          <t>No</t>
        </is>
      </c>
      <c r="B692" t="inlineStr">
        <is>
          <t>BF575.L8 M37</t>
        </is>
      </c>
      <c r="C692" t="inlineStr">
        <is>
          <t>0                      BF 0575000L  8                  M  37</t>
        </is>
      </c>
      <c r="D692" t="inlineStr">
        <is>
          <t>The evolution of love / Sydney L. W. Mellen.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Mellen, Sydney L. W., 1907-</t>
        </is>
      </c>
      <c r="L692" t="inlineStr">
        <is>
          <t>Oxford, [Eng.] ; San Francisco : W. H. Freeman, c1981.</t>
        </is>
      </c>
      <c r="M692" t="inlineStr">
        <is>
          <t>1981</t>
        </is>
      </c>
      <c r="O692" t="inlineStr">
        <is>
          <t>eng</t>
        </is>
      </c>
      <c r="P692" t="inlineStr">
        <is>
          <t>enk</t>
        </is>
      </c>
      <c r="R692" t="inlineStr">
        <is>
          <t xml:space="preserve">BF </t>
        </is>
      </c>
      <c r="S692" t="n">
        <v>3</v>
      </c>
      <c r="T692" t="n">
        <v>3</v>
      </c>
      <c r="U692" t="inlineStr">
        <is>
          <t>2005-06-24</t>
        </is>
      </c>
      <c r="V692" t="inlineStr">
        <is>
          <t>2005-06-24</t>
        </is>
      </c>
      <c r="W692" t="inlineStr">
        <is>
          <t>1993-03-31</t>
        </is>
      </c>
      <c r="X692" t="inlineStr">
        <is>
          <t>1993-03-31</t>
        </is>
      </c>
      <c r="Y692" t="n">
        <v>424</v>
      </c>
      <c r="Z692" t="n">
        <v>337</v>
      </c>
      <c r="AA692" t="n">
        <v>356</v>
      </c>
      <c r="AB692" t="n">
        <v>2</v>
      </c>
      <c r="AC692" t="n">
        <v>2</v>
      </c>
      <c r="AD692" t="n">
        <v>14</v>
      </c>
      <c r="AE692" t="n">
        <v>14</v>
      </c>
      <c r="AF692" t="n">
        <v>6</v>
      </c>
      <c r="AG692" t="n">
        <v>6</v>
      </c>
      <c r="AH692" t="n">
        <v>1</v>
      </c>
      <c r="AI692" t="n">
        <v>1</v>
      </c>
      <c r="AJ692" t="n">
        <v>8</v>
      </c>
      <c r="AK692" t="n">
        <v>8</v>
      </c>
      <c r="AL692" t="n">
        <v>1</v>
      </c>
      <c r="AM692" t="n">
        <v>1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HYPERLINK("https://creighton-primo.hosted.exlibrisgroup.com/primo-explore/search?tab=default_tab&amp;search_scope=EVERYTHING&amp;vid=01CRU&amp;lang=en_US&amp;offset=0&amp;query=any,contains,991004984979702656","Catalog Record")</f>
        <v/>
      </c>
      <c r="AT692">
        <f>HYPERLINK("http://www.worldcat.org/oclc/6447150","WorldCat Record")</f>
        <v/>
      </c>
      <c r="AU692" t="inlineStr">
        <is>
          <t>22615616:eng</t>
        </is>
      </c>
      <c r="AV692" t="inlineStr">
        <is>
          <t>6447150</t>
        </is>
      </c>
      <c r="AW692" t="inlineStr">
        <is>
          <t>991004984979702656</t>
        </is>
      </c>
      <c r="AX692" t="inlineStr">
        <is>
          <t>991004984979702656</t>
        </is>
      </c>
      <c r="AY692" t="inlineStr">
        <is>
          <t>2255496320002656</t>
        </is>
      </c>
      <c r="AZ692" t="inlineStr">
        <is>
          <t>BOOK</t>
        </is>
      </c>
      <c r="BB692" t="inlineStr">
        <is>
          <t>9780716712718</t>
        </is>
      </c>
      <c r="BC692" t="inlineStr">
        <is>
          <t>32285001596195</t>
        </is>
      </c>
      <c r="BD692" t="inlineStr">
        <is>
          <t>893507452</t>
        </is>
      </c>
    </row>
    <row r="693">
      <c r="A693" t="inlineStr">
        <is>
          <t>No</t>
        </is>
      </c>
      <c r="B693" t="inlineStr">
        <is>
          <t>BF575.L8 P43 1988</t>
        </is>
      </c>
      <c r="C693" t="inlineStr">
        <is>
          <t>0                      BF 0575000L  8                  P  43          1988</t>
        </is>
      </c>
      <c r="D693" t="inlineStr">
        <is>
          <t>Dreams of love and fateful encounters : the power of romantic passion / Ethel Spector Person.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Person, Ethel Spector.</t>
        </is>
      </c>
      <c r="L693" t="inlineStr">
        <is>
          <t>New York : Norton, c1988.</t>
        </is>
      </c>
      <c r="M693" t="inlineStr">
        <is>
          <t>1988</t>
        </is>
      </c>
      <c r="N693" t="inlineStr">
        <is>
          <t>1st ed.</t>
        </is>
      </c>
      <c r="O693" t="inlineStr">
        <is>
          <t>eng</t>
        </is>
      </c>
      <c r="P693" t="inlineStr">
        <is>
          <t>nyu</t>
        </is>
      </c>
      <c r="R693" t="inlineStr">
        <is>
          <t xml:space="preserve">BF </t>
        </is>
      </c>
      <c r="S693" t="n">
        <v>4</v>
      </c>
      <c r="T693" t="n">
        <v>4</v>
      </c>
      <c r="U693" t="inlineStr">
        <is>
          <t>2002-02-06</t>
        </is>
      </c>
      <c r="V693" t="inlineStr">
        <is>
          <t>2002-02-06</t>
        </is>
      </c>
      <c r="W693" t="inlineStr">
        <is>
          <t>1991-10-16</t>
        </is>
      </c>
      <c r="X693" t="inlineStr">
        <is>
          <t>1991-10-16</t>
        </is>
      </c>
      <c r="Y693" t="n">
        <v>460</v>
      </c>
      <c r="Z693" t="n">
        <v>435</v>
      </c>
      <c r="AA693" t="n">
        <v>604</v>
      </c>
      <c r="AB693" t="n">
        <v>3</v>
      </c>
      <c r="AC693" t="n">
        <v>3</v>
      </c>
      <c r="AD693" t="n">
        <v>7</v>
      </c>
      <c r="AE693" t="n">
        <v>13</v>
      </c>
      <c r="AF693" t="n">
        <v>3</v>
      </c>
      <c r="AG693" t="n">
        <v>5</v>
      </c>
      <c r="AH693" t="n">
        <v>0</v>
      </c>
      <c r="AI693" t="n">
        <v>2</v>
      </c>
      <c r="AJ693" t="n">
        <v>4</v>
      </c>
      <c r="AK693" t="n">
        <v>7</v>
      </c>
      <c r="AL693" t="n">
        <v>2</v>
      </c>
      <c r="AM693" t="n">
        <v>2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HYPERLINK("https://creighton-primo.hosted.exlibrisgroup.com/primo-explore/search?tab=default_tab&amp;search_scope=EVERYTHING&amp;vid=01CRU&amp;lang=en_US&amp;offset=0&amp;query=any,contains,991001092539702656","Catalog Record")</f>
        <v/>
      </c>
      <c r="AT693">
        <f>HYPERLINK("http://www.worldcat.org/oclc/16226152","WorldCat Record")</f>
        <v/>
      </c>
      <c r="AU693" t="inlineStr">
        <is>
          <t>12247882:eng</t>
        </is>
      </c>
      <c r="AV693" t="inlineStr">
        <is>
          <t>16226152</t>
        </is>
      </c>
      <c r="AW693" t="inlineStr">
        <is>
          <t>991001092539702656</t>
        </is>
      </c>
      <c r="AX693" t="inlineStr">
        <is>
          <t>991001092539702656</t>
        </is>
      </c>
      <c r="AY693" t="inlineStr">
        <is>
          <t>2266380820002656</t>
        </is>
      </c>
      <c r="AZ693" t="inlineStr">
        <is>
          <t>BOOK</t>
        </is>
      </c>
      <c r="BB693" t="inlineStr">
        <is>
          <t>9780393025279</t>
        </is>
      </c>
      <c r="BC693" t="inlineStr">
        <is>
          <t>32285000774926</t>
        </is>
      </c>
      <c r="BD693" t="inlineStr">
        <is>
          <t>893438870</t>
        </is>
      </c>
    </row>
    <row r="694">
      <c r="A694" t="inlineStr">
        <is>
          <t>No</t>
        </is>
      </c>
      <c r="B694" t="inlineStr">
        <is>
          <t>BF575.P69 W4 1972</t>
        </is>
      </c>
      <c r="C694" t="inlineStr">
        <is>
          <t>0                      BF 0575000P  69                 W  4           1972</t>
        </is>
      </c>
      <c r="D694" t="inlineStr">
        <is>
          <t>Why am I afraid to love?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Powell, John, 1925-2009.</t>
        </is>
      </c>
      <c r="L694" t="inlineStr">
        <is>
          <t>Niles, Ill. : Argus Communications, 1972, c1967]</t>
        </is>
      </c>
      <c r="M694" t="inlineStr">
        <is>
          <t>1972</t>
        </is>
      </c>
      <c r="N694" t="inlineStr">
        <is>
          <t>[Rev.</t>
        </is>
      </c>
      <c r="O694" t="inlineStr">
        <is>
          <t>eng</t>
        </is>
      </c>
      <c r="P694" t="inlineStr">
        <is>
          <t xml:space="preserve">xx </t>
        </is>
      </c>
      <c r="R694" t="inlineStr">
        <is>
          <t xml:space="preserve">BF </t>
        </is>
      </c>
      <c r="S694" t="n">
        <v>16</v>
      </c>
      <c r="T694" t="n">
        <v>16</v>
      </c>
      <c r="U694" t="inlineStr">
        <is>
          <t>2008-03-10</t>
        </is>
      </c>
      <c r="V694" t="inlineStr">
        <is>
          <t>2008-03-10</t>
        </is>
      </c>
      <c r="W694" t="inlineStr">
        <is>
          <t>1992-12-15</t>
        </is>
      </c>
      <c r="X694" t="inlineStr">
        <is>
          <t>1992-12-15</t>
        </is>
      </c>
      <c r="Y694" t="n">
        <v>315</v>
      </c>
      <c r="Z694" t="n">
        <v>285</v>
      </c>
      <c r="AA694" t="n">
        <v>546</v>
      </c>
      <c r="AB694" t="n">
        <v>5</v>
      </c>
      <c r="AC694" t="n">
        <v>7</v>
      </c>
      <c r="AD694" t="n">
        <v>14</v>
      </c>
      <c r="AE694" t="n">
        <v>21</v>
      </c>
      <c r="AF694" t="n">
        <v>4</v>
      </c>
      <c r="AG694" t="n">
        <v>6</v>
      </c>
      <c r="AH694" t="n">
        <v>0</v>
      </c>
      <c r="AI694" t="n">
        <v>3</v>
      </c>
      <c r="AJ694" t="n">
        <v>10</v>
      </c>
      <c r="AK694" t="n">
        <v>13</v>
      </c>
      <c r="AL694" t="n">
        <v>2</v>
      </c>
      <c r="AM694" t="n">
        <v>3</v>
      </c>
      <c r="AN694" t="n">
        <v>0</v>
      </c>
      <c r="AO694" t="n">
        <v>0</v>
      </c>
      <c r="AP694" t="inlineStr">
        <is>
          <t>No</t>
        </is>
      </c>
      <c r="AQ694" t="inlineStr">
        <is>
          <t>No</t>
        </is>
      </c>
      <c r="AS694">
        <f>HYPERLINK("https://creighton-primo.hosted.exlibrisgroup.com/primo-explore/search?tab=default_tab&amp;search_scope=EVERYTHING&amp;vid=01CRU&amp;lang=en_US&amp;offset=0&amp;query=any,contains,991003373759702656","Catalog Record")</f>
        <v/>
      </c>
      <c r="AT694">
        <f>HYPERLINK("http://www.worldcat.org/oclc/910173","WorldCat Record")</f>
        <v/>
      </c>
      <c r="AU694" t="inlineStr">
        <is>
          <t>1848114:eng</t>
        </is>
      </c>
      <c r="AV694" t="inlineStr">
        <is>
          <t>910173</t>
        </is>
      </c>
      <c r="AW694" t="inlineStr">
        <is>
          <t>991003373759702656</t>
        </is>
      </c>
      <c r="AX694" t="inlineStr">
        <is>
          <t>991003373759702656</t>
        </is>
      </c>
      <c r="AY694" t="inlineStr">
        <is>
          <t>2265344290002656</t>
        </is>
      </c>
      <c r="AZ694" t="inlineStr">
        <is>
          <t>BOOK</t>
        </is>
      </c>
      <c r="BB694" t="inlineStr">
        <is>
          <t>9780913592038</t>
        </is>
      </c>
      <c r="BC694" t="inlineStr">
        <is>
          <t>32285001403632</t>
        </is>
      </c>
      <c r="BD694" t="inlineStr">
        <is>
          <t>893623432</t>
        </is>
      </c>
    </row>
    <row r="695">
      <c r="A695" t="inlineStr">
        <is>
          <t>No</t>
        </is>
      </c>
      <c r="B695" t="inlineStr">
        <is>
          <t>BF575.S45 F67 1986</t>
        </is>
      </c>
      <c r="C695" t="inlineStr">
        <is>
          <t>0                      BF 0575000S  45                 F  67          1986</t>
        </is>
      </c>
      <c r="D695" t="inlineStr">
        <is>
          <t>Facing shame : families in recovery / Merle A. Fossum, Marilyn J. Mason.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Fossum, Merle A.</t>
        </is>
      </c>
      <c r="L695" t="inlineStr">
        <is>
          <t>New York : W.W. Norton &amp; Co., c1986.</t>
        </is>
      </c>
      <c r="M695" t="inlineStr">
        <is>
          <t>1986</t>
        </is>
      </c>
      <c r="N695" t="inlineStr">
        <is>
          <t>1st ed.</t>
        </is>
      </c>
      <c r="O695" t="inlineStr">
        <is>
          <t>eng</t>
        </is>
      </c>
      <c r="P695" t="inlineStr">
        <is>
          <t>nyu</t>
        </is>
      </c>
      <c r="R695" t="inlineStr">
        <is>
          <t xml:space="preserve">BF </t>
        </is>
      </c>
      <c r="S695" t="n">
        <v>6</v>
      </c>
      <c r="T695" t="n">
        <v>6</v>
      </c>
      <c r="U695" t="inlineStr">
        <is>
          <t>2002-03-06</t>
        </is>
      </c>
      <c r="V695" t="inlineStr">
        <is>
          <t>2002-03-06</t>
        </is>
      </c>
      <c r="W695" t="inlineStr">
        <is>
          <t>1992-04-15</t>
        </is>
      </c>
      <c r="X695" t="inlineStr">
        <is>
          <t>1992-04-15</t>
        </is>
      </c>
      <c r="Y695" t="n">
        <v>717</v>
      </c>
      <c r="Z695" t="n">
        <v>631</v>
      </c>
      <c r="AA695" t="n">
        <v>649</v>
      </c>
      <c r="AB695" t="n">
        <v>5</v>
      </c>
      <c r="AC695" t="n">
        <v>5</v>
      </c>
      <c r="AD695" t="n">
        <v>18</v>
      </c>
      <c r="AE695" t="n">
        <v>18</v>
      </c>
      <c r="AF695" t="n">
        <v>6</v>
      </c>
      <c r="AG695" t="n">
        <v>6</v>
      </c>
      <c r="AH695" t="n">
        <v>0</v>
      </c>
      <c r="AI695" t="n">
        <v>0</v>
      </c>
      <c r="AJ695" t="n">
        <v>12</v>
      </c>
      <c r="AK695" t="n">
        <v>12</v>
      </c>
      <c r="AL695" t="n">
        <v>3</v>
      </c>
      <c r="AM695" t="n">
        <v>3</v>
      </c>
      <c r="AN695" t="n">
        <v>0</v>
      </c>
      <c r="AO695" t="n">
        <v>0</v>
      </c>
      <c r="AP695" t="inlineStr">
        <is>
          <t>No</t>
        </is>
      </c>
      <c r="AQ695" t="inlineStr">
        <is>
          <t>No</t>
        </is>
      </c>
      <c r="AS695">
        <f>HYPERLINK("https://creighton-primo.hosted.exlibrisgroup.com/primo-explore/search?tab=default_tab&amp;search_scope=EVERYTHING&amp;vid=01CRU&amp;lang=en_US&amp;offset=0&amp;query=any,contains,991000767629702656","Catalog Record")</f>
        <v/>
      </c>
      <c r="AT695">
        <f>HYPERLINK("http://www.worldcat.org/oclc/13005557","WorldCat Record")</f>
        <v/>
      </c>
      <c r="AU695" t="inlineStr">
        <is>
          <t>836694197:eng</t>
        </is>
      </c>
      <c r="AV695" t="inlineStr">
        <is>
          <t>13005557</t>
        </is>
      </c>
      <c r="AW695" t="inlineStr">
        <is>
          <t>991000767629702656</t>
        </is>
      </c>
      <c r="AX695" t="inlineStr">
        <is>
          <t>991000767629702656</t>
        </is>
      </c>
      <c r="AY695" t="inlineStr">
        <is>
          <t>2265003800002656</t>
        </is>
      </c>
      <c r="AZ695" t="inlineStr">
        <is>
          <t>BOOK</t>
        </is>
      </c>
      <c r="BB695" t="inlineStr">
        <is>
          <t>9780393700275</t>
        </is>
      </c>
      <c r="BC695" t="inlineStr">
        <is>
          <t>32285001061331</t>
        </is>
      </c>
      <c r="BD695" t="inlineStr">
        <is>
          <t>893528374</t>
        </is>
      </c>
    </row>
    <row r="696">
      <c r="A696" t="inlineStr">
        <is>
          <t>No</t>
        </is>
      </c>
      <c r="B696" t="inlineStr">
        <is>
          <t>BF575.S7 T6</t>
        </is>
      </c>
      <c r="C696" t="inlineStr">
        <is>
          <t>0                      BF 0575000S  7                  T  6</t>
        </is>
      </c>
      <c r="D696" t="inlineStr">
        <is>
          <t>Constructive behavior : stress, personality, and mental health / [by] E. Paul Torrance.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Torrance, E. Paul (Ellis Paul), 1915-2003.</t>
        </is>
      </c>
      <c r="L696" t="inlineStr">
        <is>
          <t>Belmont, Calif. : Wadsworth Pub. Co., [1965]</t>
        </is>
      </c>
      <c r="M696" t="inlineStr">
        <is>
          <t>1965</t>
        </is>
      </c>
      <c r="O696" t="inlineStr">
        <is>
          <t>eng</t>
        </is>
      </c>
      <c r="P696" t="inlineStr">
        <is>
          <t>cau</t>
        </is>
      </c>
      <c r="R696" t="inlineStr">
        <is>
          <t xml:space="preserve">BF </t>
        </is>
      </c>
      <c r="S696" t="n">
        <v>1</v>
      </c>
      <c r="T696" t="n">
        <v>1</v>
      </c>
      <c r="U696" t="inlineStr">
        <is>
          <t>1995-01-30</t>
        </is>
      </c>
      <c r="V696" t="inlineStr">
        <is>
          <t>1995-01-30</t>
        </is>
      </c>
      <c r="W696" t="inlineStr">
        <is>
          <t>1990-11-14</t>
        </is>
      </c>
      <c r="X696" t="inlineStr">
        <is>
          <t>1990-11-14</t>
        </is>
      </c>
      <c r="Y696" t="n">
        <v>394</v>
      </c>
      <c r="Z696" t="n">
        <v>346</v>
      </c>
      <c r="AA696" t="n">
        <v>353</v>
      </c>
      <c r="AB696" t="n">
        <v>3</v>
      </c>
      <c r="AC696" t="n">
        <v>3</v>
      </c>
      <c r="AD696" t="n">
        <v>17</v>
      </c>
      <c r="AE696" t="n">
        <v>19</v>
      </c>
      <c r="AF696" t="n">
        <v>5</v>
      </c>
      <c r="AG696" t="n">
        <v>6</v>
      </c>
      <c r="AH696" t="n">
        <v>2</v>
      </c>
      <c r="AI696" t="n">
        <v>3</v>
      </c>
      <c r="AJ696" t="n">
        <v>10</v>
      </c>
      <c r="AK696" t="n">
        <v>11</v>
      </c>
      <c r="AL696" t="n">
        <v>2</v>
      </c>
      <c r="AM696" t="n">
        <v>2</v>
      </c>
      <c r="AN696" t="n">
        <v>0</v>
      </c>
      <c r="AO696" t="n">
        <v>0</v>
      </c>
      <c r="AP696" t="inlineStr">
        <is>
          <t>No</t>
        </is>
      </c>
      <c r="AQ696" t="inlineStr">
        <is>
          <t>Yes</t>
        </is>
      </c>
      <c r="AR696">
        <f>HYPERLINK("http://catalog.hathitrust.org/Record/000360881","HathiTrust Record")</f>
        <v/>
      </c>
      <c r="AS696">
        <f>HYPERLINK("https://creighton-primo.hosted.exlibrisgroup.com/primo-explore/search?tab=default_tab&amp;search_scope=EVERYTHING&amp;vid=01CRU&amp;lang=en_US&amp;offset=0&amp;query=any,contains,991001231329702656","Catalog Record")</f>
        <v/>
      </c>
      <c r="AT696">
        <f>HYPERLINK("http://www.worldcat.org/oclc/203697","WorldCat Record")</f>
        <v/>
      </c>
      <c r="AU696" t="inlineStr">
        <is>
          <t>1260531:eng</t>
        </is>
      </c>
      <c r="AV696" t="inlineStr">
        <is>
          <t>203697</t>
        </is>
      </c>
      <c r="AW696" t="inlineStr">
        <is>
          <t>991001231329702656</t>
        </is>
      </c>
      <c r="AX696" t="inlineStr">
        <is>
          <t>991001231329702656</t>
        </is>
      </c>
      <c r="AY696" t="inlineStr">
        <is>
          <t>2255990410002656</t>
        </is>
      </c>
      <c r="AZ696" t="inlineStr">
        <is>
          <t>BOOK</t>
        </is>
      </c>
      <c r="BC696" t="inlineStr">
        <is>
          <t>32285000395946</t>
        </is>
      </c>
      <c r="BD696" t="inlineStr">
        <is>
          <t>893626618</t>
        </is>
      </c>
    </row>
    <row r="697">
      <c r="A697" t="inlineStr">
        <is>
          <t>No</t>
        </is>
      </c>
      <c r="B697" t="inlineStr">
        <is>
          <t>BF575.S75 B75 1984</t>
        </is>
      </c>
      <c r="C697" t="inlineStr">
        <is>
          <t>0                      BF 0575000S  75                 B  75          1984</t>
        </is>
      </c>
      <c r="D697" t="inlineStr">
        <is>
          <t>Between health and illness : new notions on stress and the nature of well being / Barbara B. Brown.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Brown, Barbara B.</t>
        </is>
      </c>
      <c r="L697" t="inlineStr">
        <is>
          <t>Boston : Houghton Mifflin, 1984.</t>
        </is>
      </c>
      <c r="M697" t="inlineStr">
        <is>
          <t>1984</t>
        </is>
      </c>
      <c r="O697" t="inlineStr">
        <is>
          <t>eng</t>
        </is>
      </c>
      <c r="P697" t="inlineStr">
        <is>
          <t>mau</t>
        </is>
      </c>
      <c r="R697" t="inlineStr">
        <is>
          <t xml:space="preserve">BF </t>
        </is>
      </c>
      <c r="S697" t="n">
        <v>16</v>
      </c>
      <c r="T697" t="n">
        <v>16</v>
      </c>
      <c r="U697" t="inlineStr">
        <is>
          <t>2000-02-09</t>
        </is>
      </c>
      <c r="V697" t="inlineStr">
        <is>
          <t>2000-02-09</t>
        </is>
      </c>
      <c r="W697" t="inlineStr">
        <is>
          <t>1990-05-07</t>
        </is>
      </c>
      <c r="X697" t="inlineStr">
        <is>
          <t>1990-05-07</t>
        </is>
      </c>
      <c r="Y697" t="n">
        <v>427</v>
      </c>
      <c r="Z697" t="n">
        <v>402</v>
      </c>
      <c r="AA697" t="n">
        <v>422</v>
      </c>
      <c r="AB697" t="n">
        <v>2</v>
      </c>
      <c r="AC697" t="n">
        <v>2</v>
      </c>
      <c r="AD697" t="n">
        <v>7</v>
      </c>
      <c r="AE697" t="n">
        <v>7</v>
      </c>
      <c r="AF697" t="n">
        <v>3</v>
      </c>
      <c r="AG697" t="n">
        <v>3</v>
      </c>
      <c r="AH697" t="n">
        <v>1</v>
      </c>
      <c r="AI697" t="n">
        <v>1</v>
      </c>
      <c r="AJ697" t="n">
        <v>3</v>
      </c>
      <c r="AK697" t="n">
        <v>3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HYPERLINK("http://catalog.hathitrust.org/Record/000781994","HathiTrust Record")</f>
        <v/>
      </c>
      <c r="AS697">
        <f>HYPERLINK("https://creighton-primo.hosted.exlibrisgroup.com/primo-explore/search?tab=default_tab&amp;search_scope=EVERYTHING&amp;vid=01CRU&amp;lang=en_US&amp;offset=0&amp;query=any,contains,991000299279702656","Catalog Record")</f>
        <v/>
      </c>
      <c r="AT697">
        <f>HYPERLINK("http://www.worldcat.org/oclc/10020408","WorldCat Record")</f>
        <v/>
      </c>
      <c r="AU697" t="inlineStr">
        <is>
          <t>3294562:eng</t>
        </is>
      </c>
      <c r="AV697" t="inlineStr">
        <is>
          <t>10020408</t>
        </is>
      </c>
      <c r="AW697" t="inlineStr">
        <is>
          <t>991000299279702656</t>
        </is>
      </c>
      <c r="AX697" t="inlineStr">
        <is>
          <t>991000299279702656</t>
        </is>
      </c>
      <c r="AY697" t="inlineStr">
        <is>
          <t>2265253290002656</t>
        </is>
      </c>
      <c r="AZ697" t="inlineStr">
        <is>
          <t>BOOK</t>
        </is>
      </c>
      <c r="BB697" t="inlineStr">
        <is>
          <t>9780395346341</t>
        </is>
      </c>
      <c r="BC697" t="inlineStr">
        <is>
          <t>32285000150077</t>
        </is>
      </c>
      <c r="BD697" t="inlineStr">
        <is>
          <t>893784119</t>
        </is>
      </c>
    </row>
    <row r="698">
      <c r="A698" t="inlineStr">
        <is>
          <t>No</t>
        </is>
      </c>
      <c r="B698" t="inlineStr">
        <is>
          <t>BF575.S75 C44 1982</t>
        </is>
      </c>
      <c r="C698" t="inlineStr">
        <is>
          <t>0                      BF 0575000S  75                 C  44          1982</t>
        </is>
      </c>
      <c r="D698" t="inlineStr">
        <is>
          <t>Stress management : a comprehensive guide to wellness / by Edward A. Charlesworth and Ronald G. Nathan.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Yes</t>
        </is>
      </c>
      <c r="J698" t="inlineStr">
        <is>
          <t>0</t>
        </is>
      </c>
      <c r="K698" t="inlineStr">
        <is>
          <t>Charlesworth, Edward A., 1949-</t>
        </is>
      </c>
      <c r="L698" t="inlineStr">
        <is>
          <t>Houston, Tex. : Biobehavioral Press, [1982] c1981.</t>
        </is>
      </c>
      <c r="M698" t="inlineStr">
        <is>
          <t>1982</t>
        </is>
      </c>
      <c r="O698" t="inlineStr">
        <is>
          <t>eng</t>
        </is>
      </c>
      <c r="P698" t="inlineStr">
        <is>
          <t>txu</t>
        </is>
      </c>
      <c r="R698" t="inlineStr">
        <is>
          <t xml:space="preserve">BF </t>
        </is>
      </c>
      <c r="S698" t="n">
        <v>10</v>
      </c>
      <c r="T698" t="n">
        <v>10</v>
      </c>
      <c r="U698" t="inlineStr">
        <is>
          <t>1997-07-28</t>
        </is>
      </c>
      <c r="V698" t="inlineStr">
        <is>
          <t>1997-07-28</t>
        </is>
      </c>
      <c r="W698" t="inlineStr">
        <is>
          <t>1995-02-28</t>
        </is>
      </c>
      <c r="X698" t="inlineStr">
        <is>
          <t>1995-02-28</t>
        </is>
      </c>
      <c r="Y698" t="n">
        <v>145</v>
      </c>
      <c r="Z698" t="n">
        <v>128</v>
      </c>
      <c r="AA698" t="n">
        <v>1067</v>
      </c>
      <c r="AB698" t="n">
        <v>3</v>
      </c>
      <c r="AC698" t="n">
        <v>10</v>
      </c>
      <c r="AD698" t="n">
        <v>7</v>
      </c>
      <c r="AE698" t="n">
        <v>28</v>
      </c>
      <c r="AF698" t="n">
        <v>4</v>
      </c>
      <c r="AG698" t="n">
        <v>9</v>
      </c>
      <c r="AH698" t="n">
        <v>1</v>
      </c>
      <c r="AI698" t="n">
        <v>4</v>
      </c>
      <c r="AJ698" t="n">
        <v>2</v>
      </c>
      <c r="AK698" t="n">
        <v>13</v>
      </c>
      <c r="AL698" t="n">
        <v>2</v>
      </c>
      <c r="AM698" t="n">
        <v>7</v>
      </c>
      <c r="AN698" t="n">
        <v>0</v>
      </c>
      <c r="AO698" t="n">
        <v>0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HYPERLINK("https://creighton-primo.hosted.exlibrisgroup.com/primo-explore/search?tab=default_tab&amp;search_scope=EVERYTHING&amp;vid=01CRU&amp;lang=en_US&amp;offset=0&amp;query=any,contains,991005212589702656","Catalog Record")</f>
        <v/>
      </c>
      <c r="AT698">
        <f>HYPERLINK("http://www.worldcat.org/oclc/8170614","WorldCat Record")</f>
        <v/>
      </c>
      <c r="AU698" t="inlineStr">
        <is>
          <t>1007768:eng</t>
        </is>
      </c>
      <c r="AV698" t="inlineStr">
        <is>
          <t>8170614</t>
        </is>
      </c>
      <c r="AW698" t="inlineStr">
        <is>
          <t>991005212589702656</t>
        </is>
      </c>
      <c r="AX698" t="inlineStr">
        <is>
          <t>991005212589702656</t>
        </is>
      </c>
      <c r="AY698" t="inlineStr">
        <is>
          <t>2256695310002656</t>
        </is>
      </c>
      <c r="AZ698" t="inlineStr">
        <is>
          <t>BOOK</t>
        </is>
      </c>
      <c r="BB698" t="inlineStr">
        <is>
          <t>9780938176022</t>
        </is>
      </c>
      <c r="BC698" t="inlineStr">
        <is>
          <t>32285001779460</t>
        </is>
      </c>
      <c r="BD698" t="inlineStr">
        <is>
          <t>893418562</t>
        </is>
      </c>
    </row>
    <row r="699">
      <c r="A699" t="inlineStr">
        <is>
          <t>No</t>
        </is>
      </c>
      <c r="B699" t="inlineStr">
        <is>
          <t>BF575.S75 C44 1984</t>
        </is>
      </c>
      <c r="C699" t="inlineStr">
        <is>
          <t>0                      BF 0575000S  75                 C  44          1984</t>
        </is>
      </c>
      <c r="D699" t="inlineStr">
        <is>
          <t>Stress management : a comprehensive guide to wellness / Edward A. Charlesworth, Ronald G. Nathan.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Yes</t>
        </is>
      </c>
      <c r="J699" t="inlineStr">
        <is>
          <t>0</t>
        </is>
      </c>
      <c r="K699" t="inlineStr">
        <is>
          <t>Charlesworth, Edward A., 1949-</t>
        </is>
      </c>
      <c r="L699" t="inlineStr">
        <is>
          <t>New York : Atheneum, 1984.</t>
        </is>
      </c>
      <c r="M699" t="inlineStr">
        <is>
          <t>1985</t>
        </is>
      </c>
      <c r="N699" t="inlineStr">
        <is>
          <t>Rev. and updated ed.</t>
        </is>
      </c>
      <c r="O699" t="inlineStr">
        <is>
          <t>eng</t>
        </is>
      </c>
      <c r="P699" t="inlineStr">
        <is>
          <t>nyu</t>
        </is>
      </c>
      <c r="R699" t="inlineStr">
        <is>
          <t xml:space="preserve">BF </t>
        </is>
      </c>
      <c r="S699" t="n">
        <v>6</v>
      </c>
      <c r="T699" t="n">
        <v>6</v>
      </c>
      <c r="U699" t="inlineStr">
        <is>
          <t>1997-06-26</t>
        </is>
      </c>
      <c r="V699" t="inlineStr">
        <is>
          <t>1997-06-26</t>
        </is>
      </c>
      <c r="W699" t="inlineStr">
        <is>
          <t>1990-11-15</t>
        </is>
      </c>
      <c r="X699" t="inlineStr">
        <is>
          <t>1990-11-15</t>
        </is>
      </c>
      <c r="Y699" t="n">
        <v>685</v>
      </c>
      <c r="Z699" t="n">
        <v>644</v>
      </c>
      <c r="AA699" t="n">
        <v>1067</v>
      </c>
      <c r="AB699" t="n">
        <v>3</v>
      </c>
      <c r="AC699" t="n">
        <v>10</v>
      </c>
      <c r="AD699" t="n">
        <v>16</v>
      </c>
      <c r="AE699" t="n">
        <v>28</v>
      </c>
      <c r="AF699" t="n">
        <v>4</v>
      </c>
      <c r="AG699" t="n">
        <v>9</v>
      </c>
      <c r="AH699" t="n">
        <v>3</v>
      </c>
      <c r="AI699" t="n">
        <v>4</v>
      </c>
      <c r="AJ699" t="n">
        <v>11</v>
      </c>
      <c r="AK699" t="n">
        <v>13</v>
      </c>
      <c r="AL699" t="n">
        <v>2</v>
      </c>
      <c r="AM699" t="n">
        <v>7</v>
      </c>
      <c r="AN699" t="n">
        <v>0</v>
      </c>
      <c r="AO699" t="n">
        <v>0</v>
      </c>
      <c r="AP699" t="inlineStr">
        <is>
          <t>No</t>
        </is>
      </c>
      <c r="AQ699" t="inlineStr">
        <is>
          <t>Yes</t>
        </is>
      </c>
      <c r="AR699">
        <f>HYPERLINK("http://catalog.hathitrust.org/Record/102214556","HathiTrust Record")</f>
        <v/>
      </c>
      <c r="AS699">
        <f>HYPERLINK("https://creighton-primo.hosted.exlibrisgroup.com/primo-explore/search?tab=default_tab&amp;search_scope=EVERYTHING&amp;vid=01CRU&amp;lang=en_US&amp;offset=0&amp;query=any,contains,991000431639702656","Catalog Record")</f>
        <v/>
      </c>
      <c r="AT699">
        <f>HYPERLINK("http://www.worldcat.org/oclc/10779178","WorldCat Record")</f>
        <v/>
      </c>
      <c r="AU699" t="inlineStr">
        <is>
          <t>1007768:eng</t>
        </is>
      </c>
      <c r="AV699" t="inlineStr">
        <is>
          <t>10779178</t>
        </is>
      </c>
      <c r="AW699" t="inlineStr">
        <is>
          <t>991000431639702656</t>
        </is>
      </c>
      <c r="AX699" t="inlineStr">
        <is>
          <t>991000431639702656</t>
        </is>
      </c>
      <c r="AY699" t="inlineStr">
        <is>
          <t>2268382320002656</t>
        </is>
      </c>
      <c r="AZ699" t="inlineStr">
        <is>
          <t>BOOK</t>
        </is>
      </c>
      <c r="BB699" t="inlineStr">
        <is>
          <t>9780689115035</t>
        </is>
      </c>
      <c r="BC699" t="inlineStr">
        <is>
          <t>32285000396571</t>
        </is>
      </c>
      <c r="BD699" t="inlineStr">
        <is>
          <t>893620480</t>
        </is>
      </c>
    </row>
    <row r="700">
      <c r="A700" t="inlineStr">
        <is>
          <t>No</t>
        </is>
      </c>
      <c r="B700" t="inlineStr">
        <is>
          <t>BF575.S75 C6</t>
        </is>
      </c>
      <c r="C700" t="inlineStr">
        <is>
          <t>0                      BF 0575000S  75                 C  6</t>
        </is>
      </c>
      <c r="D700" t="inlineStr">
        <is>
          <t>Psychological stress, issues in research : [papers] / edited by Mortimer H. Appley [and] Richard Trumbull.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No</t>
        </is>
      </c>
      <c r="J700" t="inlineStr">
        <is>
          <t>0</t>
        </is>
      </c>
      <c r="K700" t="inlineStr">
        <is>
          <t>Conference on Psychological Stress (1965 : Toronto, Ont.)</t>
        </is>
      </c>
      <c r="L700" t="inlineStr">
        <is>
          <t>New York : Appleton-Century-Crofts, [1967]</t>
        </is>
      </c>
      <c r="M700" t="inlineStr">
        <is>
          <t>1967</t>
        </is>
      </c>
      <c r="O700" t="inlineStr">
        <is>
          <t>eng</t>
        </is>
      </c>
      <c r="P700" t="inlineStr">
        <is>
          <t>nyu</t>
        </is>
      </c>
      <c r="Q700" t="inlineStr">
        <is>
          <t>The Century psychology series</t>
        </is>
      </c>
      <c r="R700" t="inlineStr">
        <is>
          <t xml:space="preserve">BF </t>
        </is>
      </c>
      <c r="S700" t="n">
        <v>3</v>
      </c>
      <c r="T700" t="n">
        <v>3</v>
      </c>
      <c r="U700" t="inlineStr">
        <is>
          <t>2009-11-02</t>
        </is>
      </c>
      <c r="V700" t="inlineStr">
        <is>
          <t>2009-11-02</t>
        </is>
      </c>
      <c r="W700" t="inlineStr">
        <is>
          <t>1992-04-15</t>
        </is>
      </c>
      <c r="X700" t="inlineStr">
        <is>
          <t>1992-04-15</t>
        </is>
      </c>
      <c r="Y700" t="n">
        <v>658</v>
      </c>
      <c r="Z700" t="n">
        <v>555</v>
      </c>
      <c r="AA700" t="n">
        <v>560</v>
      </c>
      <c r="AB700" t="n">
        <v>5</v>
      </c>
      <c r="AC700" t="n">
        <v>5</v>
      </c>
      <c r="AD700" t="n">
        <v>26</v>
      </c>
      <c r="AE700" t="n">
        <v>26</v>
      </c>
      <c r="AF700" t="n">
        <v>10</v>
      </c>
      <c r="AG700" t="n">
        <v>10</v>
      </c>
      <c r="AH700" t="n">
        <v>6</v>
      </c>
      <c r="AI700" t="n">
        <v>6</v>
      </c>
      <c r="AJ700" t="n">
        <v>13</v>
      </c>
      <c r="AK700" t="n">
        <v>13</v>
      </c>
      <c r="AL700" t="n">
        <v>4</v>
      </c>
      <c r="AM700" t="n">
        <v>4</v>
      </c>
      <c r="AN700" t="n">
        <v>0</v>
      </c>
      <c r="AO700" t="n">
        <v>0</v>
      </c>
      <c r="AP700" t="inlineStr">
        <is>
          <t>No</t>
        </is>
      </c>
      <c r="AQ700" t="inlineStr">
        <is>
          <t>Yes</t>
        </is>
      </c>
      <c r="AR700">
        <f>HYPERLINK("http://catalog.hathitrust.org/Record/000386978","HathiTrust Record")</f>
        <v/>
      </c>
      <c r="AS700">
        <f>HYPERLINK("https://creighton-primo.hosted.exlibrisgroup.com/primo-explore/search?tab=default_tab&amp;search_scope=EVERYTHING&amp;vid=01CRU&amp;lang=en_US&amp;offset=0&amp;query=any,contains,991001736139702656","Catalog Record")</f>
        <v/>
      </c>
      <c r="AT700">
        <f>HYPERLINK("http://www.worldcat.org/oclc/235076","WorldCat Record")</f>
        <v/>
      </c>
      <c r="AU700" t="inlineStr">
        <is>
          <t>1365585:eng</t>
        </is>
      </c>
      <c r="AV700" t="inlineStr">
        <is>
          <t>235076</t>
        </is>
      </c>
      <c r="AW700" t="inlineStr">
        <is>
          <t>991001736139702656</t>
        </is>
      </c>
      <c r="AX700" t="inlineStr">
        <is>
          <t>991001736139702656</t>
        </is>
      </c>
      <c r="AY700" t="inlineStr">
        <is>
          <t>2259344920002656</t>
        </is>
      </c>
      <c r="AZ700" t="inlineStr">
        <is>
          <t>BOOK</t>
        </is>
      </c>
      <c r="BC700" t="inlineStr">
        <is>
          <t>32285001062651</t>
        </is>
      </c>
      <c r="BD700" t="inlineStr">
        <is>
          <t>893690851</t>
        </is>
      </c>
    </row>
    <row r="701">
      <c r="A701" t="inlineStr">
        <is>
          <t>No</t>
        </is>
      </c>
      <c r="B701" t="inlineStr">
        <is>
          <t>BF575.S75 C64 1973</t>
        </is>
      </c>
      <c r="C701" t="inlineStr">
        <is>
          <t>0                      BF 0575000S  75                 C  64          1973</t>
        </is>
      </c>
      <c r="D701" t="inlineStr">
        <is>
          <t>Stressful life events : their nature and effects : [papers] / edited by Barbara Snell Dohrenwend [and] Bruce P. Dohrenwend.</t>
        </is>
      </c>
      <c r="F701" t="inlineStr">
        <is>
          <t>No</t>
        </is>
      </c>
      <c r="G701" t="inlineStr">
        <is>
          <t>1</t>
        </is>
      </c>
      <c r="H701" t="inlineStr">
        <is>
          <t>Yes</t>
        </is>
      </c>
      <c r="I701" t="inlineStr">
        <is>
          <t>No</t>
        </is>
      </c>
      <c r="J701" t="inlineStr">
        <is>
          <t>0</t>
        </is>
      </c>
      <c r="K701" t="inlineStr">
        <is>
          <t>Conference on Stressful Life Events: Their Nature and Effects (1973 : City University of New York)</t>
        </is>
      </c>
      <c r="L701" t="inlineStr">
        <is>
          <t>New York : Wiley, [1974]</t>
        </is>
      </c>
      <c r="M701" t="inlineStr">
        <is>
          <t>1974</t>
        </is>
      </c>
      <c r="O701" t="inlineStr">
        <is>
          <t>eng</t>
        </is>
      </c>
      <c r="P701" t="inlineStr">
        <is>
          <t>nyu</t>
        </is>
      </c>
      <c r="R701" t="inlineStr">
        <is>
          <t xml:space="preserve">BF </t>
        </is>
      </c>
      <c r="S701" t="n">
        <v>7</v>
      </c>
      <c r="T701" t="n">
        <v>19</v>
      </c>
      <c r="U701" t="inlineStr">
        <is>
          <t>2004-10-09</t>
        </is>
      </c>
      <c r="V701" t="inlineStr">
        <is>
          <t>2004-10-09</t>
        </is>
      </c>
      <c r="W701" t="inlineStr">
        <is>
          <t>1990-11-19</t>
        </is>
      </c>
      <c r="X701" t="inlineStr">
        <is>
          <t>1990-11-19</t>
        </is>
      </c>
      <c r="Y701" t="n">
        <v>737</v>
      </c>
      <c r="Z701" t="n">
        <v>600</v>
      </c>
      <c r="AA701" t="n">
        <v>608</v>
      </c>
      <c r="AB701" t="n">
        <v>5</v>
      </c>
      <c r="AC701" t="n">
        <v>5</v>
      </c>
      <c r="AD701" t="n">
        <v>29</v>
      </c>
      <c r="AE701" t="n">
        <v>29</v>
      </c>
      <c r="AF701" t="n">
        <v>14</v>
      </c>
      <c r="AG701" t="n">
        <v>14</v>
      </c>
      <c r="AH701" t="n">
        <v>6</v>
      </c>
      <c r="AI701" t="n">
        <v>6</v>
      </c>
      <c r="AJ701" t="n">
        <v>14</v>
      </c>
      <c r="AK701" t="n">
        <v>14</v>
      </c>
      <c r="AL701" t="n">
        <v>2</v>
      </c>
      <c r="AM701" t="n">
        <v>2</v>
      </c>
      <c r="AN701" t="n">
        <v>0</v>
      </c>
      <c r="AO701" t="n">
        <v>0</v>
      </c>
      <c r="AP701" t="inlineStr">
        <is>
          <t>No</t>
        </is>
      </c>
      <c r="AQ701" t="inlineStr">
        <is>
          <t>Yes</t>
        </is>
      </c>
      <c r="AR701">
        <f>HYPERLINK("http://catalog.hathitrust.org/Record/000013611","HathiTrust Record")</f>
        <v/>
      </c>
      <c r="AS701">
        <f>HYPERLINK("https://creighton-primo.hosted.exlibrisgroup.com/primo-explore/search?tab=default_tab&amp;search_scope=EVERYTHING&amp;vid=01CRU&amp;lang=en_US&amp;offset=0&amp;query=any,contains,991001781769702656","Catalog Record")</f>
        <v/>
      </c>
      <c r="AT701">
        <f>HYPERLINK("http://www.worldcat.org/oclc/874186","WorldCat Record")</f>
        <v/>
      </c>
      <c r="AU701" t="inlineStr">
        <is>
          <t>1075019692:eng</t>
        </is>
      </c>
      <c r="AV701" t="inlineStr">
        <is>
          <t>874186</t>
        </is>
      </c>
      <c r="AW701" t="inlineStr">
        <is>
          <t>991001781769702656</t>
        </is>
      </c>
      <c r="AX701" t="inlineStr">
        <is>
          <t>991001781769702656</t>
        </is>
      </c>
      <c r="AY701" t="inlineStr">
        <is>
          <t>2262439220002656</t>
        </is>
      </c>
      <c r="AZ701" t="inlineStr">
        <is>
          <t>BOOK</t>
        </is>
      </c>
      <c r="BB701" t="inlineStr">
        <is>
          <t>9780471217534</t>
        </is>
      </c>
      <c r="BC701" t="inlineStr">
        <is>
          <t>32285000396589</t>
        </is>
      </c>
      <c r="BD701" t="inlineStr">
        <is>
          <t>893232258</t>
        </is>
      </c>
    </row>
    <row r="702">
      <c r="A702" t="inlineStr">
        <is>
          <t>No</t>
        </is>
      </c>
      <c r="B702" t="inlineStr">
        <is>
          <t>BF575.S75 H36</t>
        </is>
      </c>
      <c r="C702" t="inlineStr">
        <is>
          <t>0                      BF 0575000S  75                 H  36</t>
        </is>
      </c>
      <c r="D702" t="inlineStr">
        <is>
          <t>Handbook on stress and anxiety : contemporary knowledge, theory, and treatment / Irwin L. Kutash, Louis B. Schlesinger, and associates.</t>
        </is>
      </c>
      <c r="F702" t="inlineStr">
        <is>
          <t>No</t>
        </is>
      </c>
      <c r="G702" t="inlineStr">
        <is>
          <t>1</t>
        </is>
      </c>
      <c r="H702" t="inlineStr">
        <is>
          <t>Yes</t>
        </is>
      </c>
      <c r="I702" t="inlineStr">
        <is>
          <t>No</t>
        </is>
      </c>
      <c r="J702" t="inlineStr">
        <is>
          <t>0</t>
        </is>
      </c>
      <c r="L702" t="inlineStr">
        <is>
          <t>San Francisco : Jossey-Bass, 1980.</t>
        </is>
      </c>
      <c r="M702" t="inlineStr">
        <is>
          <t>1980</t>
        </is>
      </c>
      <c r="N702" t="inlineStr">
        <is>
          <t>1st ed.</t>
        </is>
      </c>
      <c r="O702" t="inlineStr">
        <is>
          <t>eng</t>
        </is>
      </c>
      <c r="P702" t="inlineStr">
        <is>
          <t>cau</t>
        </is>
      </c>
      <c r="R702" t="inlineStr">
        <is>
          <t xml:space="preserve">BF </t>
        </is>
      </c>
      <c r="S702" t="n">
        <v>3</v>
      </c>
      <c r="T702" t="n">
        <v>3</v>
      </c>
      <c r="U702" t="inlineStr">
        <is>
          <t>2004-10-18</t>
        </is>
      </c>
      <c r="V702" t="inlineStr">
        <is>
          <t>2004-10-18</t>
        </is>
      </c>
      <c r="W702" t="inlineStr">
        <is>
          <t>1992-12-16</t>
        </is>
      </c>
      <c r="X702" t="inlineStr">
        <is>
          <t>1992-12-16</t>
        </is>
      </c>
      <c r="Y702" t="n">
        <v>943</v>
      </c>
      <c r="Z702" t="n">
        <v>777</v>
      </c>
      <c r="AA702" t="n">
        <v>790</v>
      </c>
      <c r="AB702" t="n">
        <v>9</v>
      </c>
      <c r="AC702" t="n">
        <v>9</v>
      </c>
      <c r="AD702" t="n">
        <v>39</v>
      </c>
      <c r="AE702" t="n">
        <v>39</v>
      </c>
      <c r="AF702" t="n">
        <v>16</v>
      </c>
      <c r="AG702" t="n">
        <v>16</v>
      </c>
      <c r="AH702" t="n">
        <v>8</v>
      </c>
      <c r="AI702" t="n">
        <v>8</v>
      </c>
      <c r="AJ702" t="n">
        <v>19</v>
      </c>
      <c r="AK702" t="n">
        <v>19</v>
      </c>
      <c r="AL702" t="n">
        <v>7</v>
      </c>
      <c r="AM702" t="n">
        <v>7</v>
      </c>
      <c r="AN702" t="n">
        <v>0</v>
      </c>
      <c r="AO702" t="n">
        <v>0</v>
      </c>
      <c r="AP702" t="inlineStr">
        <is>
          <t>No</t>
        </is>
      </c>
      <c r="AQ702" t="inlineStr">
        <is>
          <t>Yes</t>
        </is>
      </c>
      <c r="AR702">
        <f>HYPERLINK("http://catalog.hathitrust.org/Record/000128536","HathiTrust Record")</f>
        <v/>
      </c>
      <c r="AS702">
        <f>HYPERLINK("https://creighton-primo.hosted.exlibrisgroup.com/primo-explore/search?tab=default_tab&amp;search_scope=EVERYTHING&amp;vid=01CRU&amp;lang=en_US&amp;offset=0&amp;query=any,contains,991005007999702656","Catalog Record")</f>
        <v/>
      </c>
      <c r="AT702">
        <f>HYPERLINK("http://www.worldcat.org/oclc/6581186","WorldCat Record")</f>
        <v/>
      </c>
      <c r="AU702" t="inlineStr">
        <is>
          <t>350786040:eng</t>
        </is>
      </c>
      <c r="AV702" t="inlineStr">
        <is>
          <t>6581186</t>
        </is>
      </c>
      <c r="AW702" t="inlineStr">
        <is>
          <t>991005007999702656</t>
        </is>
      </c>
      <c r="AX702" t="inlineStr">
        <is>
          <t>991005007999702656</t>
        </is>
      </c>
      <c r="AY702" t="inlineStr">
        <is>
          <t>2258141600002656</t>
        </is>
      </c>
      <c r="AZ702" t="inlineStr">
        <is>
          <t>BOOK</t>
        </is>
      </c>
      <c r="BB702" t="inlineStr">
        <is>
          <t>9780875894782</t>
        </is>
      </c>
      <c r="BC702" t="inlineStr">
        <is>
          <t>32285001443745</t>
        </is>
      </c>
      <c r="BD702" t="inlineStr">
        <is>
          <t>893606702</t>
        </is>
      </c>
    </row>
    <row r="703">
      <c r="A703" t="inlineStr">
        <is>
          <t>No</t>
        </is>
      </c>
      <c r="B703" t="inlineStr">
        <is>
          <t>BF575.S75 I57 1979</t>
        </is>
      </c>
      <c r="C703" t="inlineStr">
        <is>
          <t>0                      BF 0575000S  75                 I  57          1979</t>
        </is>
      </c>
      <c r="D703" t="inlineStr">
        <is>
          <t>Stress and tension control / edited by F. J. McGuigan, Wesley E. Sime, and J. Macdonald Wallace.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International Interdisciplinary Conference on Stress and Tension Control (1st : 1979 : London, England)</t>
        </is>
      </c>
      <c r="L703" t="inlineStr">
        <is>
          <t>New York : Plenum Press, c1980.</t>
        </is>
      </c>
      <c r="M703" t="inlineStr">
        <is>
          <t>1980</t>
        </is>
      </c>
      <c r="O703" t="inlineStr">
        <is>
          <t>eng</t>
        </is>
      </c>
      <c r="P703" t="inlineStr">
        <is>
          <t>nyu</t>
        </is>
      </c>
      <c r="R703" t="inlineStr">
        <is>
          <t xml:space="preserve">BF </t>
        </is>
      </c>
      <c r="S703" t="n">
        <v>3</v>
      </c>
      <c r="T703" t="n">
        <v>3</v>
      </c>
      <c r="U703" t="inlineStr">
        <is>
          <t>2009-03-03</t>
        </is>
      </c>
      <c r="V703" t="inlineStr">
        <is>
          <t>2009-03-03</t>
        </is>
      </c>
      <c r="W703" t="inlineStr">
        <is>
          <t>1990-05-07</t>
        </is>
      </c>
      <c r="X703" t="inlineStr">
        <is>
          <t>1990-05-07</t>
        </is>
      </c>
      <c r="Y703" t="n">
        <v>378</v>
      </c>
      <c r="Z703" t="n">
        <v>295</v>
      </c>
      <c r="AA703" t="n">
        <v>315</v>
      </c>
      <c r="AB703" t="n">
        <v>3</v>
      </c>
      <c r="AC703" t="n">
        <v>3</v>
      </c>
      <c r="AD703" t="n">
        <v>17</v>
      </c>
      <c r="AE703" t="n">
        <v>17</v>
      </c>
      <c r="AF703" t="n">
        <v>7</v>
      </c>
      <c r="AG703" t="n">
        <v>7</v>
      </c>
      <c r="AH703" t="n">
        <v>3</v>
      </c>
      <c r="AI703" t="n">
        <v>3</v>
      </c>
      <c r="AJ703" t="n">
        <v>11</v>
      </c>
      <c r="AK703" t="n">
        <v>11</v>
      </c>
      <c r="AL703" t="n">
        <v>2</v>
      </c>
      <c r="AM703" t="n">
        <v>2</v>
      </c>
      <c r="AN703" t="n">
        <v>0</v>
      </c>
      <c r="AO703" t="n">
        <v>0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HYPERLINK("http://catalog.hathitrust.org/Record/000691938","HathiTrust Record")</f>
        <v/>
      </c>
      <c r="AS703">
        <f>HYPERLINK("https://creighton-primo.hosted.exlibrisgroup.com/primo-explore/search?tab=default_tab&amp;search_scope=EVERYTHING&amp;vid=01CRU&amp;lang=en_US&amp;offset=0&amp;query=any,contains,991004952929702656","Catalog Record")</f>
        <v/>
      </c>
      <c r="AT703">
        <f>HYPERLINK("http://www.worldcat.org/oclc/6251877","WorldCat Record")</f>
        <v/>
      </c>
      <c r="AU703" t="inlineStr">
        <is>
          <t>437457:eng</t>
        </is>
      </c>
      <c r="AV703" t="inlineStr">
        <is>
          <t>6251877</t>
        </is>
      </c>
      <c r="AW703" t="inlineStr">
        <is>
          <t>991004952929702656</t>
        </is>
      </c>
      <c r="AX703" t="inlineStr">
        <is>
          <t>991004952929702656</t>
        </is>
      </c>
      <c r="AY703" t="inlineStr">
        <is>
          <t>2262915190002656</t>
        </is>
      </c>
      <c r="AZ703" t="inlineStr">
        <is>
          <t>BOOK</t>
        </is>
      </c>
      <c r="BB703" t="inlineStr">
        <is>
          <t>9780306404504</t>
        </is>
      </c>
      <c r="BC703" t="inlineStr">
        <is>
          <t>32285000150085</t>
        </is>
      </c>
      <c r="BD703" t="inlineStr">
        <is>
          <t>893594285</t>
        </is>
      </c>
    </row>
    <row r="704">
      <c r="A704" t="inlineStr">
        <is>
          <t>No</t>
        </is>
      </c>
      <c r="B704" t="inlineStr">
        <is>
          <t>BF575.S75 L3</t>
        </is>
      </c>
      <c r="C704" t="inlineStr">
        <is>
          <t>0                      BF 0575000S  75                 L  3</t>
        </is>
      </c>
      <c r="D704" t="inlineStr">
        <is>
          <t>Psychological stress and the coping process / [by] Richard S. Lazarus.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Lazarus, Richard S.</t>
        </is>
      </c>
      <c r="L704" t="inlineStr">
        <is>
          <t>New York : McGraw-Hill, [1966]</t>
        </is>
      </c>
      <c r="M704" t="inlineStr">
        <is>
          <t>1966</t>
        </is>
      </c>
      <c r="O704" t="inlineStr">
        <is>
          <t>eng</t>
        </is>
      </c>
      <c r="P704" t="inlineStr">
        <is>
          <t>nyu</t>
        </is>
      </c>
      <c r="Q704" t="inlineStr">
        <is>
          <t>McGraw-Hill series in psychology</t>
        </is>
      </c>
      <c r="R704" t="inlineStr">
        <is>
          <t xml:space="preserve">BF </t>
        </is>
      </c>
      <c r="S704" t="n">
        <v>6</v>
      </c>
      <c r="T704" t="n">
        <v>6</v>
      </c>
      <c r="U704" t="inlineStr">
        <is>
          <t>2007-03-03</t>
        </is>
      </c>
      <c r="V704" t="inlineStr">
        <is>
          <t>2007-03-03</t>
        </is>
      </c>
      <c r="W704" t="inlineStr">
        <is>
          <t>1990-09-21</t>
        </is>
      </c>
      <c r="X704" t="inlineStr">
        <is>
          <t>1990-09-21</t>
        </is>
      </c>
      <c r="Y704" t="n">
        <v>719</v>
      </c>
      <c r="Z704" t="n">
        <v>565</v>
      </c>
      <c r="AA704" t="n">
        <v>580</v>
      </c>
      <c r="AB704" t="n">
        <v>3</v>
      </c>
      <c r="AC704" t="n">
        <v>3</v>
      </c>
      <c r="AD704" t="n">
        <v>32</v>
      </c>
      <c r="AE704" t="n">
        <v>33</v>
      </c>
      <c r="AF704" t="n">
        <v>13</v>
      </c>
      <c r="AG704" t="n">
        <v>13</v>
      </c>
      <c r="AH704" t="n">
        <v>7</v>
      </c>
      <c r="AI704" t="n">
        <v>7</v>
      </c>
      <c r="AJ704" t="n">
        <v>18</v>
      </c>
      <c r="AK704" t="n">
        <v>19</v>
      </c>
      <c r="AL704" t="n">
        <v>2</v>
      </c>
      <c r="AM704" t="n">
        <v>2</v>
      </c>
      <c r="AN704" t="n">
        <v>0</v>
      </c>
      <c r="AO704" t="n">
        <v>0</v>
      </c>
      <c r="AP704" t="inlineStr">
        <is>
          <t>No</t>
        </is>
      </c>
      <c r="AQ704" t="inlineStr">
        <is>
          <t>Yes</t>
        </is>
      </c>
      <c r="AR704">
        <f>HYPERLINK("http://catalog.hathitrust.org/Record/000387069","HathiTrust Record")</f>
        <v/>
      </c>
      <c r="AS704">
        <f>HYPERLINK("https://creighton-primo.hosted.exlibrisgroup.com/primo-explore/search?tab=default_tab&amp;search_scope=EVERYTHING&amp;vid=01CRU&amp;lang=en_US&amp;offset=0&amp;query=any,contains,991001370159702656","Catalog Record")</f>
        <v/>
      </c>
      <c r="AT704">
        <f>HYPERLINK("http://www.worldcat.org/oclc/223336","WorldCat Record")</f>
        <v/>
      </c>
      <c r="AU704" t="inlineStr">
        <is>
          <t>1331019:eng</t>
        </is>
      </c>
      <c r="AV704" t="inlineStr">
        <is>
          <t>223336</t>
        </is>
      </c>
      <c r="AW704" t="inlineStr">
        <is>
          <t>991001370159702656</t>
        </is>
      </c>
      <c r="AX704" t="inlineStr">
        <is>
          <t>991001370159702656</t>
        </is>
      </c>
      <c r="AY704" t="inlineStr">
        <is>
          <t>2264129060002656</t>
        </is>
      </c>
      <c r="AZ704" t="inlineStr">
        <is>
          <t>BOOK</t>
        </is>
      </c>
      <c r="BC704" t="inlineStr">
        <is>
          <t>32285000307917</t>
        </is>
      </c>
      <c r="BD704" t="inlineStr">
        <is>
          <t>893509572</t>
        </is>
      </c>
    </row>
    <row r="705">
      <c r="A705" t="inlineStr">
        <is>
          <t>No</t>
        </is>
      </c>
      <c r="B705" t="inlineStr">
        <is>
          <t>BF575.S75 P8</t>
        </is>
      </c>
      <c r="C705" t="inlineStr">
        <is>
          <t>0                      BF 0575000S  75                 P  8</t>
        </is>
      </c>
      <c r="D705" t="inlineStr">
        <is>
          <t>Psychological aspects of stress. Edited by Harry S. Abram.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L705" t="inlineStr">
        <is>
          <t>Springfield, Ill., Thomas [1970]</t>
        </is>
      </c>
      <c r="M705" t="inlineStr">
        <is>
          <t>1970</t>
        </is>
      </c>
      <c r="O705" t="inlineStr">
        <is>
          <t>eng</t>
        </is>
      </c>
      <c r="P705" t="inlineStr">
        <is>
          <t>ilu</t>
        </is>
      </c>
      <c r="R705" t="inlineStr">
        <is>
          <t xml:space="preserve">BF </t>
        </is>
      </c>
      <c r="S705" t="n">
        <v>2</v>
      </c>
      <c r="T705" t="n">
        <v>2</v>
      </c>
      <c r="U705" t="inlineStr">
        <is>
          <t>2004-10-09</t>
        </is>
      </c>
      <c r="V705" t="inlineStr">
        <is>
          <t>2004-10-09</t>
        </is>
      </c>
      <c r="W705" t="inlineStr">
        <is>
          <t>1996-07-30</t>
        </is>
      </c>
      <c r="X705" t="inlineStr">
        <is>
          <t>1996-07-30</t>
        </is>
      </c>
      <c r="Y705" t="n">
        <v>351</v>
      </c>
      <c r="Z705" t="n">
        <v>284</v>
      </c>
      <c r="AA705" t="n">
        <v>286</v>
      </c>
      <c r="AB705" t="n">
        <v>1</v>
      </c>
      <c r="AC705" t="n">
        <v>1</v>
      </c>
      <c r="AD705" t="n">
        <v>11</v>
      </c>
      <c r="AE705" t="n">
        <v>11</v>
      </c>
      <c r="AF705" t="n">
        <v>4</v>
      </c>
      <c r="AG705" t="n">
        <v>4</v>
      </c>
      <c r="AH705" t="n">
        <v>2</v>
      </c>
      <c r="AI705" t="n">
        <v>2</v>
      </c>
      <c r="AJ705" t="n">
        <v>8</v>
      </c>
      <c r="AK705" t="n">
        <v>8</v>
      </c>
      <c r="AL705" t="n">
        <v>0</v>
      </c>
      <c r="AM705" t="n">
        <v>0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HYPERLINK("http://catalog.hathitrust.org/Record/000360869","HathiTrust Record")</f>
        <v/>
      </c>
      <c r="AS705">
        <f>HYPERLINK("https://creighton-primo.hosted.exlibrisgroup.com/primo-explore/search?tab=default_tab&amp;search_scope=EVERYTHING&amp;vid=01CRU&amp;lang=en_US&amp;offset=0&amp;query=any,contains,991000629619702656","Catalog Record")</f>
        <v/>
      </c>
      <c r="AT705">
        <f>HYPERLINK("http://www.worldcat.org/oclc/105603","WorldCat Record")</f>
        <v/>
      </c>
      <c r="AU705" t="inlineStr">
        <is>
          <t>1091239030:eng</t>
        </is>
      </c>
      <c r="AV705" t="inlineStr">
        <is>
          <t>105603</t>
        </is>
      </c>
      <c r="AW705" t="inlineStr">
        <is>
          <t>991000629619702656</t>
        </is>
      </c>
      <c r="AX705" t="inlineStr">
        <is>
          <t>991000629619702656</t>
        </is>
      </c>
      <c r="AY705" t="inlineStr">
        <is>
          <t>2263131700002656</t>
        </is>
      </c>
      <c r="AZ705" t="inlineStr">
        <is>
          <t>BOOK</t>
        </is>
      </c>
      <c r="BC705" t="inlineStr">
        <is>
          <t>32285002250248</t>
        </is>
      </c>
      <c r="BD705" t="inlineStr">
        <is>
          <t>893871840</t>
        </is>
      </c>
    </row>
    <row r="706">
      <c r="A706" t="inlineStr">
        <is>
          <t>No</t>
        </is>
      </c>
      <c r="B706" t="inlineStr">
        <is>
          <t>BF575.S75 P84 1983</t>
        </is>
      </c>
      <c r="C706" t="inlineStr">
        <is>
          <t>0                      BF 0575000S  75                 P  84          1983</t>
        </is>
      </c>
      <c r="D706" t="inlineStr">
        <is>
          <t>Psychosocial stress : trends in theory and research / edited by Howard B. Kaplan.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L706" t="inlineStr">
        <is>
          <t>New York : Academic Press, 1983.</t>
        </is>
      </c>
      <c r="M706" t="inlineStr">
        <is>
          <t>1983</t>
        </is>
      </c>
      <c r="O706" t="inlineStr">
        <is>
          <t>eng</t>
        </is>
      </c>
      <c r="P706" t="inlineStr">
        <is>
          <t>nyu</t>
        </is>
      </c>
      <c r="R706" t="inlineStr">
        <is>
          <t xml:space="preserve">BF </t>
        </is>
      </c>
      <c r="S706" t="n">
        <v>6</v>
      </c>
      <c r="T706" t="n">
        <v>6</v>
      </c>
      <c r="U706" t="inlineStr">
        <is>
          <t>1997-09-17</t>
        </is>
      </c>
      <c r="V706" t="inlineStr">
        <is>
          <t>1997-09-17</t>
        </is>
      </c>
      <c r="W706" t="inlineStr">
        <is>
          <t>1993-03-31</t>
        </is>
      </c>
      <c r="X706" t="inlineStr">
        <is>
          <t>1993-03-31</t>
        </is>
      </c>
      <c r="Y706" t="n">
        <v>539</v>
      </c>
      <c r="Z706" t="n">
        <v>383</v>
      </c>
      <c r="AA706" t="n">
        <v>425</v>
      </c>
      <c r="AB706" t="n">
        <v>2</v>
      </c>
      <c r="AC706" t="n">
        <v>2</v>
      </c>
      <c r="AD706" t="n">
        <v>21</v>
      </c>
      <c r="AE706" t="n">
        <v>23</v>
      </c>
      <c r="AF706" t="n">
        <v>9</v>
      </c>
      <c r="AG706" t="n">
        <v>10</v>
      </c>
      <c r="AH706" t="n">
        <v>5</v>
      </c>
      <c r="AI706" t="n">
        <v>6</v>
      </c>
      <c r="AJ706" t="n">
        <v>13</v>
      </c>
      <c r="AK706" t="n">
        <v>13</v>
      </c>
      <c r="AL706" t="n">
        <v>1</v>
      </c>
      <c r="AM706" t="n">
        <v>1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HYPERLINK("http://catalog.hathitrust.org/Record/000202727","HathiTrust Record")</f>
        <v/>
      </c>
      <c r="AS706">
        <f>HYPERLINK("https://creighton-primo.hosted.exlibrisgroup.com/primo-explore/search?tab=default_tab&amp;search_scope=EVERYTHING&amp;vid=01CRU&amp;lang=en_US&amp;offset=0&amp;query=any,contains,991000213579702656","Catalog Record")</f>
        <v/>
      </c>
      <c r="AT706">
        <f>HYPERLINK("http://www.worldcat.org/oclc/9556609","WorldCat Record")</f>
        <v/>
      </c>
      <c r="AU706" t="inlineStr">
        <is>
          <t>2072428777:eng</t>
        </is>
      </c>
      <c r="AV706" t="inlineStr">
        <is>
          <t>9556609</t>
        </is>
      </c>
      <c r="AW706" t="inlineStr">
        <is>
          <t>991000213579702656</t>
        </is>
      </c>
      <c r="AX706" t="inlineStr">
        <is>
          <t>991000213579702656</t>
        </is>
      </c>
      <c r="AY706" t="inlineStr">
        <is>
          <t>2265447080002656</t>
        </is>
      </c>
      <c r="AZ706" t="inlineStr">
        <is>
          <t>BOOK</t>
        </is>
      </c>
      <c r="BB706" t="inlineStr">
        <is>
          <t>9780123975607</t>
        </is>
      </c>
      <c r="BC706" t="inlineStr">
        <is>
          <t>32285001596252</t>
        </is>
      </c>
      <c r="BD706" t="inlineStr">
        <is>
          <t>893534095</t>
        </is>
      </c>
    </row>
    <row r="707">
      <c r="A707" t="inlineStr">
        <is>
          <t>No</t>
        </is>
      </c>
      <c r="B707" t="inlineStr">
        <is>
          <t>BF575.S75 S48</t>
        </is>
      </c>
      <c r="C707" t="inlineStr">
        <is>
          <t>0                      BF 0575000S  75                 S  48</t>
        </is>
      </c>
      <c r="D707" t="inlineStr">
        <is>
          <t>Life after stress / Martin Shaffer.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K707" t="inlineStr">
        <is>
          <t>Shaffer, Martin.</t>
        </is>
      </c>
      <c r="L707" t="inlineStr">
        <is>
          <t>New York : Plenum Press, c1982.</t>
        </is>
      </c>
      <c r="M707" t="inlineStr">
        <is>
          <t>1982</t>
        </is>
      </c>
      <c r="O707" t="inlineStr">
        <is>
          <t>eng</t>
        </is>
      </c>
      <c r="P707" t="inlineStr">
        <is>
          <t>nyu</t>
        </is>
      </c>
      <c r="R707" t="inlineStr">
        <is>
          <t xml:space="preserve">BF </t>
        </is>
      </c>
      <c r="S707" t="n">
        <v>7</v>
      </c>
      <c r="T707" t="n">
        <v>7</v>
      </c>
      <c r="U707" t="inlineStr">
        <is>
          <t>2007-04-16</t>
        </is>
      </c>
      <c r="V707" t="inlineStr">
        <is>
          <t>2007-04-16</t>
        </is>
      </c>
      <c r="W707" t="inlineStr">
        <is>
          <t>1992-09-21</t>
        </is>
      </c>
      <c r="X707" t="inlineStr">
        <is>
          <t>1992-09-21</t>
        </is>
      </c>
      <c r="Y707" t="n">
        <v>723</v>
      </c>
      <c r="Z707" t="n">
        <v>604</v>
      </c>
      <c r="AA707" t="n">
        <v>701</v>
      </c>
      <c r="AB707" t="n">
        <v>4</v>
      </c>
      <c r="AC707" t="n">
        <v>4</v>
      </c>
      <c r="AD707" t="n">
        <v>15</v>
      </c>
      <c r="AE707" t="n">
        <v>17</v>
      </c>
      <c r="AF707" t="n">
        <v>6</v>
      </c>
      <c r="AG707" t="n">
        <v>7</v>
      </c>
      <c r="AH707" t="n">
        <v>4</v>
      </c>
      <c r="AI707" t="n">
        <v>4</v>
      </c>
      <c r="AJ707" t="n">
        <v>8</v>
      </c>
      <c r="AK707" t="n">
        <v>9</v>
      </c>
      <c r="AL707" t="n">
        <v>1</v>
      </c>
      <c r="AM707" t="n">
        <v>1</v>
      </c>
      <c r="AN707" t="n">
        <v>0</v>
      </c>
      <c r="AO707" t="n">
        <v>0</v>
      </c>
      <c r="AP707" t="inlineStr">
        <is>
          <t>No</t>
        </is>
      </c>
      <c r="AQ707" t="inlineStr">
        <is>
          <t>Yes</t>
        </is>
      </c>
      <c r="AR707">
        <f>HYPERLINK("http://catalog.hathitrust.org/Record/000265856","HathiTrust Record")</f>
        <v/>
      </c>
      <c r="AS707">
        <f>HYPERLINK("https://creighton-primo.hosted.exlibrisgroup.com/primo-explore/search?tab=default_tab&amp;search_scope=EVERYTHING&amp;vid=01CRU&amp;lang=en_US&amp;offset=0&amp;query=any,contains,991005178199702656","Catalog Record")</f>
        <v/>
      </c>
      <c r="AT707">
        <f>HYPERLINK("http://www.worldcat.org/oclc/7925564","WorldCat Record")</f>
        <v/>
      </c>
      <c r="AU707" t="inlineStr">
        <is>
          <t>438196:eng</t>
        </is>
      </c>
      <c r="AV707" t="inlineStr">
        <is>
          <t>7925564</t>
        </is>
      </c>
      <c r="AW707" t="inlineStr">
        <is>
          <t>991005178199702656</t>
        </is>
      </c>
      <c r="AX707" t="inlineStr">
        <is>
          <t>991005178199702656</t>
        </is>
      </c>
      <c r="AY707" t="inlineStr">
        <is>
          <t>2270907840002656</t>
        </is>
      </c>
      <c r="AZ707" t="inlineStr">
        <is>
          <t>BOOK</t>
        </is>
      </c>
      <c r="BB707" t="inlineStr">
        <is>
          <t>9780306408694</t>
        </is>
      </c>
      <c r="BC707" t="inlineStr">
        <is>
          <t>32285001303907</t>
        </is>
      </c>
      <c r="BD707" t="inlineStr">
        <is>
          <t>893795749</t>
        </is>
      </c>
    </row>
    <row r="708">
      <c r="A708" t="inlineStr">
        <is>
          <t>No</t>
        </is>
      </c>
      <c r="B708" t="inlineStr">
        <is>
          <t>BF575.S75 S6 1970</t>
        </is>
      </c>
      <c r="C708" t="inlineStr">
        <is>
          <t>0                      BF 0575000S  75                 S  6           1970</t>
        </is>
      </c>
      <c r="D708" t="inlineStr">
        <is>
          <t>Social and psychological factors in stress / Joseph E. McGrath, editor ; with contributions by : Irwin Altman [and others]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L708" t="inlineStr">
        <is>
          <t>New York : Holt, Rinehart and Winston, [1970]</t>
        </is>
      </c>
      <c r="M708" t="inlineStr">
        <is>
          <t>1970</t>
        </is>
      </c>
      <c r="O708" t="inlineStr">
        <is>
          <t>eng</t>
        </is>
      </c>
      <c r="P708" t="inlineStr">
        <is>
          <t>nyu</t>
        </is>
      </c>
      <c r="R708" t="inlineStr">
        <is>
          <t xml:space="preserve">BF </t>
        </is>
      </c>
      <c r="S708" t="n">
        <v>9</v>
      </c>
      <c r="T708" t="n">
        <v>9</v>
      </c>
      <c r="U708" t="inlineStr">
        <is>
          <t>2004-02-17</t>
        </is>
      </c>
      <c r="V708" t="inlineStr">
        <is>
          <t>2004-02-17</t>
        </is>
      </c>
      <c r="W708" t="inlineStr">
        <is>
          <t>1990-09-05</t>
        </is>
      </c>
      <c r="X708" t="inlineStr">
        <is>
          <t>1990-09-05</t>
        </is>
      </c>
      <c r="Y708" t="n">
        <v>467</v>
      </c>
      <c r="Z708" t="n">
        <v>345</v>
      </c>
      <c r="AA708" t="n">
        <v>353</v>
      </c>
      <c r="AB708" t="n">
        <v>3</v>
      </c>
      <c r="AC708" t="n">
        <v>3</v>
      </c>
      <c r="AD708" t="n">
        <v>14</v>
      </c>
      <c r="AE708" t="n">
        <v>14</v>
      </c>
      <c r="AF708" t="n">
        <v>4</v>
      </c>
      <c r="AG708" t="n">
        <v>4</v>
      </c>
      <c r="AH708" t="n">
        <v>5</v>
      </c>
      <c r="AI708" t="n">
        <v>5</v>
      </c>
      <c r="AJ708" t="n">
        <v>6</v>
      </c>
      <c r="AK708" t="n">
        <v>6</v>
      </c>
      <c r="AL708" t="n">
        <v>2</v>
      </c>
      <c r="AM708" t="n">
        <v>2</v>
      </c>
      <c r="AN708" t="n">
        <v>0</v>
      </c>
      <c r="AO708" t="n">
        <v>0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HYPERLINK("http://catalog.hathitrust.org/Record/000360877","HathiTrust Record")</f>
        <v/>
      </c>
      <c r="AS708">
        <f>HYPERLINK("https://creighton-primo.hosted.exlibrisgroup.com/primo-explore/search?tab=default_tab&amp;search_scope=EVERYTHING&amp;vid=01CRU&amp;lang=en_US&amp;offset=0&amp;query=any,contains,991000215789702656","Catalog Record")</f>
        <v/>
      </c>
      <c r="AT708">
        <f>HYPERLINK("http://www.worldcat.org/oclc/66702","WorldCat Record")</f>
        <v/>
      </c>
      <c r="AU708" t="inlineStr">
        <is>
          <t>1232630:eng</t>
        </is>
      </c>
      <c r="AV708" t="inlineStr">
        <is>
          <t>66702</t>
        </is>
      </c>
      <c r="AW708" t="inlineStr">
        <is>
          <t>991000215789702656</t>
        </is>
      </c>
      <c r="AX708" t="inlineStr">
        <is>
          <t>991000215789702656</t>
        </is>
      </c>
      <c r="AY708" t="inlineStr">
        <is>
          <t>2258709580002656</t>
        </is>
      </c>
      <c r="AZ708" t="inlineStr">
        <is>
          <t>BOOK</t>
        </is>
      </c>
      <c r="BB708" t="inlineStr">
        <is>
          <t>9780030802805</t>
        </is>
      </c>
      <c r="BC708" t="inlineStr">
        <is>
          <t>32285000284108</t>
        </is>
      </c>
      <c r="BD708" t="inlineStr">
        <is>
          <t>893708213</t>
        </is>
      </c>
    </row>
    <row r="709">
      <c r="A709" t="inlineStr">
        <is>
          <t>No</t>
        </is>
      </c>
      <c r="B709" t="inlineStr">
        <is>
          <t>BF575.S75 S77</t>
        </is>
      </c>
      <c r="C709" t="inlineStr">
        <is>
          <t>0                      BF 0575000S  75                 S  77</t>
        </is>
      </c>
      <c r="D709" t="inlineStr">
        <is>
          <t>Stress and coping : an anthology / edited by Alan Monat &amp; Richard S. Lazarus.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Yes</t>
        </is>
      </c>
      <c r="J709" t="inlineStr">
        <is>
          <t>0</t>
        </is>
      </c>
      <c r="L709" t="inlineStr">
        <is>
          <t>New York : Columbia University Press, 1977.</t>
        </is>
      </c>
      <c r="M709" t="inlineStr">
        <is>
          <t>1977</t>
        </is>
      </c>
      <c r="O709" t="inlineStr">
        <is>
          <t>eng</t>
        </is>
      </c>
      <c r="P709" t="inlineStr">
        <is>
          <t>nyu</t>
        </is>
      </c>
      <c r="R709" t="inlineStr">
        <is>
          <t xml:space="preserve">BF </t>
        </is>
      </c>
      <c r="S709" t="n">
        <v>10</v>
      </c>
      <c r="T709" t="n">
        <v>10</v>
      </c>
      <c r="U709" t="inlineStr">
        <is>
          <t>2007-12-10</t>
        </is>
      </c>
      <c r="V709" t="inlineStr">
        <is>
          <t>2007-12-10</t>
        </is>
      </c>
      <c r="W709" t="inlineStr">
        <is>
          <t>1990-04-17</t>
        </is>
      </c>
      <c r="X709" t="inlineStr">
        <is>
          <t>1990-04-17</t>
        </is>
      </c>
      <c r="Y709" t="n">
        <v>687</v>
      </c>
      <c r="Z709" t="n">
        <v>547</v>
      </c>
      <c r="AA709" t="n">
        <v>978</v>
      </c>
      <c r="AB709" t="n">
        <v>5</v>
      </c>
      <c r="AC709" t="n">
        <v>7</v>
      </c>
      <c r="AD709" t="n">
        <v>28</v>
      </c>
      <c r="AE709" t="n">
        <v>43</v>
      </c>
      <c r="AF709" t="n">
        <v>10</v>
      </c>
      <c r="AG709" t="n">
        <v>19</v>
      </c>
      <c r="AH709" t="n">
        <v>4</v>
      </c>
      <c r="AI709" t="n">
        <v>7</v>
      </c>
      <c r="AJ709" t="n">
        <v>13</v>
      </c>
      <c r="AK709" t="n">
        <v>21</v>
      </c>
      <c r="AL709" t="n">
        <v>4</v>
      </c>
      <c r="AM709" t="n">
        <v>6</v>
      </c>
      <c r="AN709" t="n">
        <v>0</v>
      </c>
      <c r="AO709" t="n">
        <v>0</v>
      </c>
      <c r="AP709" t="inlineStr">
        <is>
          <t>No</t>
        </is>
      </c>
      <c r="AQ709" t="inlineStr">
        <is>
          <t>No</t>
        </is>
      </c>
      <c r="AS709">
        <f>HYPERLINK("https://creighton-primo.hosted.exlibrisgroup.com/primo-explore/search?tab=default_tab&amp;search_scope=EVERYTHING&amp;vid=01CRU&amp;lang=en_US&amp;offset=0&amp;query=any,contains,991004259839702656","Catalog Record")</f>
        <v/>
      </c>
      <c r="AT709">
        <f>HYPERLINK("http://www.worldcat.org/oclc/2837509","WorldCat Record")</f>
        <v/>
      </c>
      <c r="AU709" t="inlineStr">
        <is>
          <t>836700434:eng</t>
        </is>
      </c>
      <c r="AV709" t="inlineStr">
        <is>
          <t>2837509</t>
        </is>
      </c>
      <c r="AW709" t="inlineStr">
        <is>
          <t>991004259839702656</t>
        </is>
      </c>
      <c r="AX709" t="inlineStr">
        <is>
          <t>991004259839702656</t>
        </is>
      </c>
      <c r="AY709" t="inlineStr">
        <is>
          <t>2262123250002656</t>
        </is>
      </c>
      <c r="AZ709" t="inlineStr">
        <is>
          <t>BOOK</t>
        </is>
      </c>
      <c r="BB709" t="inlineStr">
        <is>
          <t>9780231040136</t>
        </is>
      </c>
      <c r="BC709" t="inlineStr">
        <is>
          <t>32285000122753</t>
        </is>
      </c>
      <c r="BD709" t="inlineStr">
        <is>
          <t>893500351</t>
        </is>
      </c>
    </row>
    <row r="710">
      <c r="A710" t="inlineStr">
        <is>
          <t>No</t>
        </is>
      </c>
      <c r="B710" t="inlineStr">
        <is>
          <t>BF575.S75 U52 1980</t>
        </is>
      </c>
      <c r="C710" t="inlineStr">
        <is>
          <t>0                      BF 0575000S  75                 U  52          1980</t>
        </is>
      </c>
      <c r="D710" t="inlineStr">
        <is>
          <t>Understanding and managing stress : a book of readings / edited by John D. Adams.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L710" t="inlineStr">
        <is>
          <t>San Diego, CA : University Associates, c1980.</t>
        </is>
      </c>
      <c r="M710" t="inlineStr">
        <is>
          <t>1980</t>
        </is>
      </c>
      <c r="O710" t="inlineStr">
        <is>
          <t>eng</t>
        </is>
      </c>
      <c r="P710" t="inlineStr">
        <is>
          <t>cau</t>
        </is>
      </c>
      <c r="R710" t="inlineStr">
        <is>
          <t xml:space="preserve">BF </t>
        </is>
      </c>
      <c r="S710" t="n">
        <v>15</v>
      </c>
      <c r="T710" t="n">
        <v>15</v>
      </c>
      <c r="U710" t="inlineStr">
        <is>
          <t>2001-11-13</t>
        </is>
      </c>
      <c r="V710" t="inlineStr">
        <is>
          <t>2001-11-13</t>
        </is>
      </c>
      <c r="W710" t="inlineStr">
        <is>
          <t>1992-03-13</t>
        </is>
      </c>
      <c r="X710" t="inlineStr">
        <is>
          <t>1992-03-13</t>
        </is>
      </c>
      <c r="Y710" t="n">
        <v>305</v>
      </c>
      <c r="Z710" t="n">
        <v>230</v>
      </c>
      <c r="AA710" t="n">
        <v>231</v>
      </c>
      <c r="AB710" t="n">
        <v>2</v>
      </c>
      <c r="AC710" t="n">
        <v>2</v>
      </c>
      <c r="AD710" t="n">
        <v>7</v>
      </c>
      <c r="AE710" t="n">
        <v>7</v>
      </c>
      <c r="AF710" t="n">
        <v>1</v>
      </c>
      <c r="AG710" t="n">
        <v>1</v>
      </c>
      <c r="AH710" t="n">
        <v>3</v>
      </c>
      <c r="AI710" t="n">
        <v>3</v>
      </c>
      <c r="AJ710" t="n">
        <v>4</v>
      </c>
      <c r="AK710" t="n">
        <v>4</v>
      </c>
      <c r="AL710" t="n">
        <v>1</v>
      </c>
      <c r="AM710" t="n">
        <v>1</v>
      </c>
      <c r="AN710" t="n">
        <v>0</v>
      </c>
      <c r="AO710" t="n">
        <v>0</v>
      </c>
      <c r="AP710" t="inlineStr">
        <is>
          <t>No</t>
        </is>
      </c>
      <c r="AQ710" t="inlineStr">
        <is>
          <t>Yes</t>
        </is>
      </c>
      <c r="AR710">
        <f>HYPERLINK("http://catalog.hathitrust.org/Record/000650951","HathiTrust Record")</f>
        <v/>
      </c>
      <c r="AS710">
        <f>HYPERLINK("https://creighton-primo.hosted.exlibrisgroup.com/primo-explore/search?tab=default_tab&amp;search_scope=EVERYTHING&amp;vid=01CRU&amp;lang=en_US&amp;offset=0&amp;query=any,contains,991005041259702656","Catalog Record")</f>
        <v/>
      </c>
      <c r="AT710">
        <f>HYPERLINK("http://www.worldcat.org/oclc/6793692","WorldCat Record")</f>
        <v/>
      </c>
      <c r="AU710" t="inlineStr">
        <is>
          <t>3901530443:eng</t>
        </is>
      </c>
      <c r="AV710" t="inlineStr">
        <is>
          <t>6793692</t>
        </is>
      </c>
      <c r="AW710" t="inlineStr">
        <is>
          <t>991005041259702656</t>
        </is>
      </c>
      <c r="AX710" t="inlineStr">
        <is>
          <t>991005041259702656</t>
        </is>
      </c>
      <c r="AY710" t="inlineStr">
        <is>
          <t>2269438910002656</t>
        </is>
      </c>
      <c r="AZ710" t="inlineStr">
        <is>
          <t>BOOK</t>
        </is>
      </c>
      <c r="BB710" t="inlineStr">
        <is>
          <t>9780883901588</t>
        </is>
      </c>
      <c r="BC710" t="inlineStr">
        <is>
          <t>32285001020014</t>
        </is>
      </c>
      <c r="BD710" t="inlineStr">
        <is>
          <t>893876842</t>
        </is>
      </c>
    </row>
    <row r="711">
      <c r="A711" t="inlineStr">
        <is>
          <t>No</t>
        </is>
      </c>
      <c r="B711" t="inlineStr">
        <is>
          <t>BF575.S75 W58 1984</t>
        </is>
      </c>
      <c r="C711" t="inlineStr">
        <is>
          <t>0                      BF 0575000S  75                 W  58          1984</t>
        </is>
      </c>
      <c r="D711" t="inlineStr">
        <is>
          <t>The female stress syndrome : how to recognize and live with it / Georgia Witkin-Lanoil.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K711" t="inlineStr">
        <is>
          <t>Witkin, Georgia.</t>
        </is>
      </c>
      <c r="L711" t="inlineStr">
        <is>
          <t>New York : Newmarket Press, c1984.</t>
        </is>
      </c>
      <c r="M711" t="inlineStr">
        <is>
          <t>1984</t>
        </is>
      </c>
      <c r="N711" t="inlineStr">
        <is>
          <t>1st ed.</t>
        </is>
      </c>
      <c r="O711" t="inlineStr">
        <is>
          <t>eng</t>
        </is>
      </c>
      <c r="P711" t="inlineStr">
        <is>
          <t>nyu</t>
        </is>
      </c>
      <c r="R711" t="inlineStr">
        <is>
          <t xml:space="preserve">BF </t>
        </is>
      </c>
      <c r="S711" t="n">
        <v>5</v>
      </c>
      <c r="T711" t="n">
        <v>5</v>
      </c>
      <c r="U711" t="inlineStr">
        <is>
          <t>1995-09-24</t>
        </is>
      </c>
      <c r="V711" t="inlineStr">
        <is>
          <t>1995-09-24</t>
        </is>
      </c>
      <c r="W711" t="inlineStr">
        <is>
          <t>1992-10-20</t>
        </is>
      </c>
      <c r="X711" t="inlineStr">
        <is>
          <t>1992-10-20</t>
        </is>
      </c>
      <c r="Y711" t="n">
        <v>833</v>
      </c>
      <c r="Z711" t="n">
        <v>768</v>
      </c>
      <c r="AA711" t="n">
        <v>1190</v>
      </c>
      <c r="AB711" t="n">
        <v>7</v>
      </c>
      <c r="AC711" t="n">
        <v>10</v>
      </c>
      <c r="AD711" t="n">
        <v>9</v>
      </c>
      <c r="AE711" t="n">
        <v>14</v>
      </c>
      <c r="AF711" t="n">
        <v>4</v>
      </c>
      <c r="AG711" t="n">
        <v>6</v>
      </c>
      <c r="AH711" t="n">
        <v>1</v>
      </c>
      <c r="AI711" t="n">
        <v>2</v>
      </c>
      <c r="AJ711" t="n">
        <v>2</v>
      </c>
      <c r="AK711" t="n">
        <v>3</v>
      </c>
      <c r="AL711" t="n">
        <v>2</v>
      </c>
      <c r="AM711" t="n">
        <v>3</v>
      </c>
      <c r="AN711" t="n">
        <v>0</v>
      </c>
      <c r="AO711" t="n">
        <v>0</v>
      </c>
      <c r="AP711" t="inlineStr">
        <is>
          <t>No</t>
        </is>
      </c>
      <c r="AQ711" t="inlineStr">
        <is>
          <t>Yes</t>
        </is>
      </c>
      <c r="AR711">
        <f>HYPERLINK("http://catalog.hathitrust.org/Record/000125781","HathiTrust Record")</f>
        <v/>
      </c>
      <c r="AS711">
        <f>HYPERLINK("https://creighton-primo.hosted.exlibrisgroup.com/primo-explore/search?tab=default_tab&amp;search_scope=EVERYTHING&amp;vid=01CRU&amp;lang=en_US&amp;offset=0&amp;query=any,contains,991000332039702656","Catalog Record")</f>
        <v/>
      </c>
      <c r="AT711">
        <f>HYPERLINK("http://www.worldcat.org/oclc/10207711","WorldCat Record")</f>
        <v/>
      </c>
      <c r="AU711" t="inlineStr">
        <is>
          <t>3855305949:eng</t>
        </is>
      </c>
      <c r="AV711" t="inlineStr">
        <is>
          <t>10207711</t>
        </is>
      </c>
      <c r="AW711" t="inlineStr">
        <is>
          <t>991000332039702656</t>
        </is>
      </c>
      <c r="AX711" t="inlineStr">
        <is>
          <t>991000332039702656</t>
        </is>
      </c>
      <c r="AY711" t="inlineStr">
        <is>
          <t>2265086350002656</t>
        </is>
      </c>
      <c r="AZ711" t="inlineStr">
        <is>
          <t>BOOK</t>
        </is>
      </c>
      <c r="BB711" t="inlineStr">
        <is>
          <t>9780937858332</t>
        </is>
      </c>
      <c r="BC711" t="inlineStr">
        <is>
          <t>32285001372274</t>
        </is>
      </c>
      <c r="BD711" t="inlineStr">
        <is>
          <t>893419369</t>
        </is>
      </c>
    </row>
    <row r="712">
      <c r="A712" t="inlineStr">
        <is>
          <t>No</t>
        </is>
      </c>
      <c r="B712" t="inlineStr">
        <is>
          <t>BF582 .W53 1999</t>
        </is>
      </c>
      <c r="C712" t="inlineStr">
        <is>
          <t>0                      BF 0582000W  53          1999</t>
        </is>
      </c>
      <c r="D712" t="inlineStr">
        <is>
          <t>Emotions across languages and cultures : diversity and universals / Anna Wierzbicka.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Wierzbicka, Anna.</t>
        </is>
      </c>
      <c r="L712" t="inlineStr">
        <is>
          <t>Cambridge : Cambridge University Press, 1999.</t>
        </is>
      </c>
      <c r="M712" t="inlineStr">
        <is>
          <t>1999</t>
        </is>
      </c>
      <c r="O712" t="inlineStr">
        <is>
          <t>eng</t>
        </is>
      </c>
      <c r="P712" t="inlineStr">
        <is>
          <t>enk</t>
        </is>
      </c>
      <c r="Q712" t="inlineStr">
        <is>
          <t>Studies in emotion and social interaction. Second series</t>
        </is>
      </c>
      <c r="R712" t="inlineStr">
        <is>
          <t xml:space="preserve">BF </t>
        </is>
      </c>
      <c r="S712" t="n">
        <v>2</v>
      </c>
      <c r="T712" t="n">
        <v>2</v>
      </c>
      <c r="U712" t="inlineStr">
        <is>
          <t>2001-01-27</t>
        </is>
      </c>
      <c r="V712" t="inlineStr">
        <is>
          <t>2001-01-27</t>
        </is>
      </c>
      <c r="W712" t="inlineStr">
        <is>
          <t>2000-03-13</t>
        </is>
      </c>
      <c r="X712" t="inlineStr">
        <is>
          <t>2000-03-13</t>
        </is>
      </c>
      <c r="Y712" t="n">
        <v>526</v>
      </c>
      <c r="Z712" t="n">
        <v>341</v>
      </c>
      <c r="AA712" t="n">
        <v>356</v>
      </c>
      <c r="AB712" t="n">
        <v>6</v>
      </c>
      <c r="AC712" t="n">
        <v>6</v>
      </c>
      <c r="AD712" t="n">
        <v>23</v>
      </c>
      <c r="AE712" t="n">
        <v>23</v>
      </c>
      <c r="AF712" t="n">
        <v>7</v>
      </c>
      <c r="AG712" t="n">
        <v>7</v>
      </c>
      <c r="AH712" t="n">
        <v>5</v>
      </c>
      <c r="AI712" t="n">
        <v>5</v>
      </c>
      <c r="AJ712" t="n">
        <v>12</v>
      </c>
      <c r="AK712" t="n">
        <v>12</v>
      </c>
      <c r="AL712" t="n">
        <v>5</v>
      </c>
      <c r="AM712" t="n">
        <v>5</v>
      </c>
      <c r="AN712" t="n">
        <v>0</v>
      </c>
      <c r="AO712" t="n">
        <v>0</v>
      </c>
      <c r="AP712" t="inlineStr">
        <is>
          <t>No</t>
        </is>
      </c>
      <c r="AQ712" t="inlineStr">
        <is>
          <t>No</t>
        </is>
      </c>
      <c r="AS712">
        <f>HYPERLINK("https://creighton-primo.hosted.exlibrisgroup.com/primo-explore/search?tab=default_tab&amp;search_scope=EVERYTHING&amp;vid=01CRU&amp;lang=en_US&amp;offset=0&amp;query=any,contains,991003039559702656","Catalog Record")</f>
        <v/>
      </c>
      <c r="AT712">
        <f>HYPERLINK("http://www.worldcat.org/oclc/42004369","WorldCat Record")</f>
        <v/>
      </c>
      <c r="AU712" t="inlineStr">
        <is>
          <t>837048833:eng</t>
        </is>
      </c>
      <c r="AV712" t="inlineStr">
        <is>
          <t>42004369</t>
        </is>
      </c>
      <c r="AW712" t="inlineStr">
        <is>
          <t>991003039559702656</t>
        </is>
      </c>
      <c r="AX712" t="inlineStr">
        <is>
          <t>991003039559702656</t>
        </is>
      </c>
      <c r="AY712" t="inlineStr">
        <is>
          <t>2270436040002656</t>
        </is>
      </c>
      <c r="AZ712" t="inlineStr">
        <is>
          <t>BOOK</t>
        </is>
      </c>
      <c r="BB712" t="inlineStr">
        <is>
          <t>9780521590426</t>
        </is>
      </c>
      <c r="BC712" t="inlineStr">
        <is>
          <t>32285003668943</t>
        </is>
      </c>
      <c r="BD712" t="inlineStr">
        <is>
          <t>893422113</t>
        </is>
      </c>
    </row>
    <row r="713">
      <c r="A713" t="inlineStr">
        <is>
          <t>No</t>
        </is>
      </c>
      <c r="B713" t="inlineStr">
        <is>
          <t>BF591 .G47 1979</t>
        </is>
      </c>
      <c r="C713" t="inlineStr">
        <is>
          <t>0                      BF 0591000G  47          1979</t>
        </is>
      </c>
      <c r="D713" t="inlineStr">
        <is>
          <t>Gestures, their origins and distribution / Desmond Morris ... [et al.].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L713" t="inlineStr">
        <is>
          <t>New York : Stein and Day, 1979.</t>
        </is>
      </c>
      <c r="M713" t="inlineStr">
        <is>
          <t>1979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BF </t>
        </is>
      </c>
      <c r="S713" t="n">
        <v>11</v>
      </c>
      <c r="T713" t="n">
        <v>11</v>
      </c>
      <c r="U713" t="inlineStr">
        <is>
          <t>2007-10-23</t>
        </is>
      </c>
      <c r="V713" t="inlineStr">
        <is>
          <t>2007-10-23</t>
        </is>
      </c>
      <c r="W713" t="inlineStr">
        <is>
          <t>1993-03-31</t>
        </is>
      </c>
      <c r="X713" t="inlineStr">
        <is>
          <t>1993-03-31</t>
        </is>
      </c>
      <c r="Y713" t="n">
        <v>1267</v>
      </c>
      <c r="Z713" t="n">
        <v>1184</v>
      </c>
      <c r="AA713" t="n">
        <v>1294</v>
      </c>
      <c r="AB713" t="n">
        <v>5</v>
      </c>
      <c r="AC713" t="n">
        <v>7</v>
      </c>
      <c r="AD713" t="n">
        <v>26</v>
      </c>
      <c r="AE713" t="n">
        <v>30</v>
      </c>
      <c r="AF713" t="n">
        <v>8</v>
      </c>
      <c r="AG713" t="n">
        <v>9</v>
      </c>
      <c r="AH713" t="n">
        <v>7</v>
      </c>
      <c r="AI713" t="n">
        <v>7</v>
      </c>
      <c r="AJ713" t="n">
        <v>12</v>
      </c>
      <c r="AK713" t="n">
        <v>13</v>
      </c>
      <c r="AL713" t="n">
        <v>3</v>
      </c>
      <c r="AM713" t="n">
        <v>5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HYPERLINK("http://catalog.hathitrust.org/Record/007480452","HathiTrust Record")</f>
        <v/>
      </c>
      <c r="AS713">
        <f>HYPERLINK("https://creighton-primo.hosted.exlibrisgroup.com/primo-explore/search?tab=default_tab&amp;search_scope=EVERYTHING&amp;vid=01CRU&amp;lang=en_US&amp;offset=0&amp;query=any,contains,991004685919702656","Catalog Record")</f>
        <v/>
      </c>
      <c r="AT713">
        <f>HYPERLINK("http://www.worldcat.org/oclc/4592797","WorldCat Record")</f>
        <v/>
      </c>
      <c r="AU713" t="inlineStr">
        <is>
          <t>54270791:eng</t>
        </is>
      </c>
      <c r="AV713" t="inlineStr">
        <is>
          <t>4592797</t>
        </is>
      </c>
      <c r="AW713" t="inlineStr">
        <is>
          <t>991004685919702656</t>
        </is>
      </c>
      <c r="AX713" t="inlineStr">
        <is>
          <t>991004685919702656</t>
        </is>
      </c>
      <c r="AY713" t="inlineStr">
        <is>
          <t>2272485630002656</t>
        </is>
      </c>
      <c r="AZ713" t="inlineStr">
        <is>
          <t>BOOK</t>
        </is>
      </c>
      <c r="BB713" t="inlineStr">
        <is>
          <t>9780812826074</t>
        </is>
      </c>
      <c r="BC713" t="inlineStr">
        <is>
          <t>32285001596302</t>
        </is>
      </c>
      <c r="BD713" t="inlineStr">
        <is>
          <t>893500856</t>
        </is>
      </c>
    </row>
    <row r="714">
      <c r="A714" t="inlineStr">
        <is>
          <t>No</t>
        </is>
      </c>
      <c r="B714" t="inlineStr">
        <is>
          <t>BF591 .S9 1960</t>
        </is>
      </c>
      <c r="C714" t="inlineStr">
        <is>
          <t>0                      BF 0591000S  9           1960</t>
        </is>
      </c>
      <c r="D714" t="inlineStr">
        <is>
          <t>Expression of the emotions in man.</t>
        </is>
      </c>
      <c r="F714" t="inlineStr">
        <is>
          <t>No</t>
        </is>
      </c>
      <c r="G714" t="inlineStr">
        <is>
          <t>1</t>
        </is>
      </c>
      <c r="H714" t="inlineStr">
        <is>
          <t>Yes</t>
        </is>
      </c>
      <c r="I714" t="inlineStr">
        <is>
          <t>No</t>
        </is>
      </c>
      <c r="J714" t="inlineStr">
        <is>
          <t>0</t>
        </is>
      </c>
      <c r="K714" t="inlineStr">
        <is>
          <t>Knapp, Peter H.</t>
        </is>
      </c>
      <c r="L714" t="inlineStr">
        <is>
          <t>New York, International Universities Press [1963]</t>
        </is>
      </c>
      <c r="M714" t="inlineStr">
        <is>
          <t>1963</t>
        </is>
      </c>
      <c r="O714" t="inlineStr">
        <is>
          <t>eng</t>
        </is>
      </c>
      <c r="P714" t="inlineStr">
        <is>
          <t xml:space="preserve">xx </t>
        </is>
      </c>
      <c r="R714" t="inlineStr">
        <is>
          <t xml:space="preserve">BF </t>
        </is>
      </c>
      <c r="S714" t="n">
        <v>2</v>
      </c>
      <c r="T714" t="n">
        <v>2</v>
      </c>
      <c r="U714" t="inlineStr">
        <is>
          <t>2007-10-23</t>
        </is>
      </c>
      <c r="V714" t="inlineStr">
        <is>
          <t>2007-10-23</t>
        </is>
      </c>
      <c r="W714" t="inlineStr">
        <is>
          <t>1996-07-30</t>
        </is>
      </c>
      <c r="X714" t="inlineStr">
        <is>
          <t>1996-07-30</t>
        </is>
      </c>
      <c r="Y714" t="n">
        <v>548</v>
      </c>
      <c r="Z714" t="n">
        <v>461</v>
      </c>
      <c r="AA714" t="n">
        <v>491</v>
      </c>
      <c r="AB714" t="n">
        <v>5</v>
      </c>
      <c r="AC714" t="n">
        <v>5</v>
      </c>
      <c r="AD714" t="n">
        <v>24</v>
      </c>
      <c r="AE714" t="n">
        <v>24</v>
      </c>
      <c r="AF714" t="n">
        <v>7</v>
      </c>
      <c r="AG714" t="n">
        <v>7</v>
      </c>
      <c r="AH714" t="n">
        <v>8</v>
      </c>
      <c r="AI714" t="n">
        <v>8</v>
      </c>
      <c r="AJ714" t="n">
        <v>13</v>
      </c>
      <c r="AK714" t="n">
        <v>13</v>
      </c>
      <c r="AL714" t="n">
        <v>3</v>
      </c>
      <c r="AM714" t="n">
        <v>3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R714">
        <f>HYPERLINK("http://catalog.hathitrust.org/Record/000381717","HathiTrust Record")</f>
        <v/>
      </c>
      <c r="AS714">
        <f>HYPERLINK("https://creighton-primo.hosted.exlibrisgroup.com/primo-explore/search?tab=default_tab&amp;search_scope=EVERYTHING&amp;vid=01CRU&amp;lang=en_US&amp;offset=0&amp;query=any,contains,991000949159702656","Catalog Record")</f>
        <v/>
      </c>
      <c r="AT714">
        <f>HYPERLINK("http://www.worldcat.org/oclc/14612826","WorldCat Record")</f>
        <v/>
      </c>
      <c r="AU714" t="inlineStr">
        <is>
          <t>366188912:eng</t>
        </is>
      </c>
      <c r="AV714" t="inlineStr">
        <is>
          <t>14612826</t>
        </is>
      </c>
      <c r="AW714" t="inlineStr">
        <is>
          <t>991000949159702656</t>
        </is>
      </c>
      <c r="AX714" t="inlineStr">
        <is>
          <t>991000949159702656</t>
        </is>
      </c>
      <c r="AY714" t="inlineStr">
        <is>
          <t>2262775750002656</t>
        </is>
      </c>
      <c r="AZ714" t="inlineStr">
        <is>
          <t>BOOK</t>
        </is>
      </c>
      <c r="BC714" t="inlineStr">
        <is>
          <t>32285002250297</t>
        </is>
      </c>
      <c r="BD714" t="inlineStr">
        <is>
          <t>893791019</t>
        </is>
      </c>
    </row>
    <row r="715">
      <c r="A715" t="inlineStr">
        <is>
          <t>No</t>
        </is>
      </c>
      <c r="B715" t="inlineStr">
        <is>
          <t>BF611 .A86 1973a</t>
        </is>
      </c>
      <c r="C715" t="inlineStr">
        <is>
          <t>0                      BF 0611000A  86          1973a</t>
        </is>
      </c>
      <c r="D715" t="inlineStr">
        <is>
          <t>The act of will.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Assagioli, Roberto, 1888-1974.</t>
        </is>
      </c>
      <c r="L715" t="inlineStr">
        <is>
          <t>New York, Viking Press [1973]</t>
        </is>
      </c>
      <c r="M715" t="inlineStr">
        <is>
          <t>1973</t>
        </is>
      </c>
      <c r="O715" t="inlineStr">
        <is>
          <t>eng</t>
        </is>
      </c>
      <c r="P715" t="inlineStr">
        <is>
          <t>nyu</t>
        </is>
      </c>
      <c r="Q715" t="inlineStr">
        <is>
          <t>An Esalen book</t>
        </is>
      </c>
      <c r="R715" t="inlineStr">
        <is>
          <t xml:space="preserve">BF </t>
        </is>
      </c>
      <c r="S715" t="n">
        <v>4</v>
      </c>
      <c r="T715" t="n">
        <v>4</v>
      </c>
      <c r="U715" t="inlineStr">
        <is>
          <t>2005-06-30</t>
        </is>
      </c>
      <c r="V715" t="inlineStr">
        <is>
          <t>2005-06-30</t>
        </is>
      </c>
      <c r="W715" t="inlineStr">
        <is>
          <t>1996-07-30</t>
        </is>
      </c>
      <c r="X715" t="inlineStr">
        <is>
          <t>1996-07-30</t>
        </is>
      </c>
      <c r="Y715" t="n">
        <v>463</v>
      </c>
      <c r="Z715" t="n">
        <v>424</v>
      </c>
      <c r="AA715" t="n">
        <v>600</v>
      </c>
      <c r="AB715" t="n">
        <v>5</v>
      </c>
      <c r="AC715" t="n">
        <v>5</v>
      </c>
      <c r="AD715" t="n">
        <v>14</v>
      </c>
      <c r="AE715" t="n">
        <v>23</v>
      </c>
      <c r="AF715" t="n">
        <v>4</v>
      </c>
      <c r="AG715" t="n">
        <v>8</v>
      </c>
      <c r="AH715" t="n">
        <v>2</v>
      </c>
      <c r="AI715" t="n">
        <v>3</v>
      </c>
      <c r="AJ715" t="n">
        <v>6</v>
      </c>
      <c r="AK715" t="n">
        <v>12</v>
      </c>
      <c r="AL715" t="n">
        <v>3</v>
      </c>
      <c r="AM715" t="n">
        <v>3</v>
      </c>
      <c r="AN715" t="n">
        <v>1</v>
      </c>
      <c r="AO715" t="n">
        <v>1</v>
      </c>
      <c r="AP715" t="inlineStr">
        <is>
          <t>No</t>
        </is>
      </c>
      <c r="AQ715" t="inlineStr">
        <is>
          <t>Yes</t>
        </is>
      </c>
      <c r="AR715">
        <f>HYPERLINK("http://catalog.hathitrust.org/Record/000012331","HathiTrust Record")</f>
        <v/>
      </c>
      <c r="AS715">
        <f>HYPERLINK("https://creighton-primo.hosted.exlibrisgroup.com/primo-explore/search?tab=default_tab&amp;search_scope=EVERYTHING&amp;vid=01CRU&amp;lang=en_US&amp;offset=0&amp;query=any,contains,991003186959702656","Catalog Record")</f>
        <v/>
      </c>
      <c r="AT715">
        <f>HYPERLINK("http://www.worldcat.org/oclc/713347","WorldCat Record")</f>
        <v/>
      </c>
      <c r="AU715" t="inlineStr">
        <is>
          <t>3372494597:eng</t>
        </is>
      </c>
      <c r="AV715" t="inlineStr">
        <is>
          <t>713347</t>
        </is>
      </c>
      <c r="AW715" t="inlineStr">
        <is>
          <t>991003186959702656</t>
        </is>
      </c>
      <c r="AX715" t="inlineStr">
        <is>
          <t>991003186959702656</t>
        </is>
      </c>
      <c r="AY715" t="inlineStr">
        <is>
          <t>2254797640002656</t>
        </is>
      </c>
      <c r="AZ715" t="inlineStr">
        <is>
          <t>BOOK</t>
        </is>
      </c>
      <c r="BB715" t="inlineStr">
        <is>
          <t>9780670103096</t>
        </is>
      </c>
      <c r="BC715" t="inlineStr">
        <is>
          <t>32285002250305</t>
        </is>
      </c>
      <c r="BD715" t="inlineStr">
        <is>
          <t>893899701</t>
        </is>
      </c>
    </row>
    <row r="716">
      <c r="A716" t="inlineStr">
        <is>
          <t>No</t>
        </is>
      </c>
      <c r="B716" t="inlineStr">
        <is>
          <t>BF619 .B75 1987</t>
        </is>
      </c>
      <c r="C716" t="inlineStr">
        <is>
          <t>0                      BF 0619000B  75          1987</t>
        </is>
      </c>
      <c r="D716" t="inlineStr">
        <is>
          <t>Commitment, conflict, and caring / Philip Brickman, with Antonia Abbey ... [et al.] ; edited by Camille B. Wortman, Richard Sorrentino.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Brickman, Philip.</t>
        </is>
      </c>
      <c r="L716" t="inlineStr">
        <is>
          <t>Englewood Cliffs, N.J. : Prentice-Hall, 1987.</t>
        </is>
      </c>
      <c r="M716" t="inlineStr">
        <is>
          <t>1987</t>
        </is>
      </c>
      <c r="O716" t="inlineStr">
        <is>
          <t>eng</t>
        </is>
      </c>
      <c r="P716" t="inlineStr">
        <is>
          <t>nju</t>
        </is>
      </c>
      <c r="Q716" t="inlineStr">
        <is>
          <t>Century psychology series</t>
        </is>
      </c>
      <c r="R716" t="inlineStr">
        <is>
          <t xml:space="preserve">BF </t>
        </is>
      </c>
      <c r="S716" t="n">
        <v>10</v>
      </c>
      <c r="T716" t="n">
        <v>10</v>
      </c>
      <c r="U716" t="inlineStr">
        <is>
          <t>2000-03-20</t>
        </is>
      </c>
      <c r="V716" t="inlineStr">
        <is>
          <t>2000-03-20</t>
        </is>
      </c>
      <c r="W716" t="inlineStr">
        <is>
          <t>1993-03-31</t>
        </is>
      </c>
      <c r="X716" t="inlineStr">
        <is>
          <t>1993-03-31</t>
        </is>
      </c>
      <c r="Y716" t="n">
        <v>284</v>
      </c>
      <c r="Z716" t="n">
        <v>239</v>
      </c>
      <c r="AA716" t="n">
        <v>240</v>
      </c>
      <c r="AB716" t="n">
        <v>2</v>
      </c>
      <c r="AC716" t="n">
        <v>2</v>
      </c>
      <c r="AD716" t="n">
        <v>13</v>
      </c>
      <c r="AE716" t="n">
        <v>13</v>
      </c>
      <c r="AF716" t="n">
        <v>3</v>
      </c>
      <c r="AG716" t="n">
        <v>3</v>
      </c>
      <c r="AH716" t="n">
        <v>5</v>
      </c>
      <c r="AI716" t="n">
        <v>5</v>
      </c>
      <c r="AJ716" t="n">
        <v>8</v>
      </c>
      <c r="AK716" t="n">
        <v>8</v>
      </c>
      <c r="AL716" t="n">
        <v>1</v>
      </c>
      <c r="AM716" t="n">
        <v>1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HYPERLINK("http://catalog.hathitrust.org/Record/000817233","HathiTrust Record")</f>
        <v/>
      </c>
      <c r="AS716">
        <f>HYPERLINK("https://creighton-primo.hosted.exlibrisgroup.com/primo-explore/search?tab=default_tab&amp;search_scope=EVERYTHING&amp;vid=01CRU&amp;lang=en_US&amp;offset=0&amp;query=any,contains,991000941689702656","Catalog Record")</f>
        <v/>
      </c>
      <c r="AT716">
        <f>HYPERLINK("http://www.worldcat.org/oclc/14413159","WorldCat Record")</f>
        <v/>
      </c>
      <c r="AU716" t="inlineStr">
        <is>
          <t>8359515:eng</t>
        </is>
      </c>
      <c r="AV716" t="inlineStr">
        <is>
          <t>14413159</t>
        </is>
      </c>
      <c r="AW716" t="inlineStr">
        <is>
          <t>991000941689702656</t>
        </is>
      </c>
      <c r="AX716" t="inlineStr">
        <is>
          <t>991000941689702656</t>
        </is>
      </c>
      <c r="AY716" t="inlineStr">
        <is>
          <t>2266387930002656</t>
        </is>
      </c>
      <c r="AZ716" t="inlineStr">
        <is>
          <t>BOOK</t>
        </is>
      </c>
      <c r="BB716" t="inlineStr">
        <is>
          <t>9780131522664</t>
        </is>
      </c>
      <c r="BC716" t="inlineStr">
        <is>
          <t>32285001596328</t>
        </is>
      </c>
      <c r="BD716" t="inlineStr">
        <is>
          <t>893225461</t>
        </is>
      </c>
    </row>
    <row r="717">
      <c r="A717" t="inlineStr">
        <is>
          <t>No</t>
        </is>
      </c>
      <c r="B717" t="inlineStr">
        <is>
          <t>BF619 .H37</t>
        </is>
      </c>
      <c r="C717" t="inlineStr">
        <is>
          <t>0                      BF 0619000H  37</t>
        </is>
      </c>
      <c r="D717" t="inlineStr">
        <is>
          <t>Should anyone say forever? : On making, keeping, and breaking commitments / John C. Haughey.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Haughey, John C.</t>
        </is>
      </c>
      <c r="L717" t="inlineStr">
        <is>
          <t>Garden City, N.Y. : Doubleday, 1975.</t>
        </is>
      </c>
      <c r="M717" t="inlineStr">
        <is>
          <t>1975</t>
        </is>
      </c>
      <c r="N717" t="inlineStr">
        <is>
          <t>1st ed.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BF </t>
        </is>
      </c>
      <c r="S717" t="n">
        <v>5</v>
      </c>
      <c r="T717" t="n">
        <v>5</v>
      </c>
      <c r="U717" t="inlineStr">
        <is>
          <t>1996-09-18</t>
        </is>
      </c>
      <c r="V717" t="inlineStr">
        <is>
          <t>1996-09-18</t>
        </is>
      </c>
      <c r="W717" t="inlineStr">
        <is>
          <t>1996-07-30</t>
        </is>
      </c>
      <c r="X717" t="inlineStr">
        <is>
          <t>1996-07-30</t>
        </is>
      </c>
      <c r="Y717" t="n">
        <v>365</v>
      </c>
      <c r="Z717" t="n">
        <v>339</v>
      </c>
      <c r="AA717" t="n">
        <v>420</v>
      </c>
      <c r="AB717" t="n">
        <v>8</v>
      </c>
      <c r="AC717" t="n">
        <v>8</v>
      </c>
      <c r="AD717" t="n">
        <v>28</v>
      </c>
      <c r="AE717" t="n">
        <v>32</v>
      </c>
      <c r="AF717" t="n">
        <v>7</v>
      </c>
      <c r="AG717" t="n">
        <v>9</v>
      </c>
      <c r="AH717" t="n">
        <v>6</v>
      </c>
      <c r="AI717" t="n">
        <v>8</v>
      </c>
      <c r="AJ717" t="n">
        <v>19</v>
      </c>
      <c r="AK717" t="n">
        <v>21</v>
      </c>
      <c r="AL717" t="n">
        <v>4</v>
      </c>
      <c r="AM717" t="n">
        <v>4</v>
      </c>
      <c r="AN717" t="n">
        <v>0</v>
      </c>
      <c r="AO717" t="n">
        <v>0</v>
      </c>
      <c r="AP717" t="inlineStr">
        <is>
          <t>No</t>
        </is>
      </c>
      <c r="AQ717" t="inlineStr">
        <is>
          <t>Yes</t>
        </is>
      </c>
      <c r="AR717">
        <f>HYPERLINK("http://catalog.hathitrust.org/Record/009810119","HathiTrust Record")</f>
        <v/>
      </c>
      <c r="AS717">
        <f>HYPERLINK("https://creighton-primo.hosted.exlibrisgroup.com/primo-explore/search?tab=default_tab&amp;search_scope=EVERYTHING&amp;vid=01CRU&amp;lang=en_US&amp;offset=0&amp;query=any,contains,991003905599702656","Catalog Record")</f>
        <v/>
      </c>
      <c r="AT717">
        <f>HYPERLINK("http://www.worldcat.org/oclc/1836719","WorldCat Record")</f>
        <v/>
      </c>
      <c r="AU717" t="inlineStr">
        <is>
          <t>454888:eng</t>
        </is>
      </c>
      <c r="AV717" t="inlineStr">
        <is>
          <t>1836719</t>
        </is>
      </c>
      <c r="AW717" t="inlineStr">
        <is>
          <t>991003905599702656</t>
        </is>
      </c>
      <c r="AX717" t="inlineStr">
        <is>
          <t>991003905599702656</t>
        </is>
      </c>
      <c r="AY717" t="inlineStr">
        <is>
          <t>2257576750002656</t>
        </is>
      </c>
      <c r="AZ717" t="inlineStr">
        <is>
          <t>BOOK</t>
        </is>
      </c>
      <c r="BB717" t="inlineStr">
        <is>
          <t>9780385097543</t>
        </is>
      </c>
      <c r="BC717" t="inlineStr">
        <is>
          <t>32285002250339</t>
        </is>
      </c>
      <c r="BD717" t="inlineStr">
        <is>
          <t>893324692</t>
        </is>
      </c>
    </row>
    <row r="718">
      <c r="A718" t="inlineStr">
        <is>
          <t>No</t>
        </is>
      </c>
      <c r="B718" t="inlineStr">
        <is>
          <t>BF632 .G55 1984</t>
        </is>
      </c>
      <c r="C718" t="inlineStr">
        <is>
          <t>0                      BF 0632000G  55          1984</t>
        </is>
      </c>
      <c r="D718" t="inlineStr">
        <is>
          <t>Take effective control of your life / William Glasser.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Glasser, William, 1925-2013.</t>
        </is>
      </c>
      <c r="L718" t="inlineStr">
        <is>
          <t>New York : Harper &amp; Row, c1984.</t>
        </is>
      </c>
      <c r="M718" t="inlineStr">
        <is>
          <t>1984</t>
        </is>
      </c>
      <c r="N718" t="inlineStr">
        <is>
          <t>1st ed.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BF </t>
        </is>
      </c>
      <c r="S718" t="n">
        <v>17</v>
      </c>
      <c r="T718" t="n">
        <v>17</v>
      </c>
      <c r="U718" t="inlineStr">
        <is>
          <t>2007-12-03</t>
        </is>
      </c>
      <c r="V718" t="inlineStr">
        <is>
          <t>2007-12-03</t>
        </is>
      </c>
      <c r="W718" t="inlineStr">
        <is>
          <t>1990-03-13</t>
        </is>
      </c>
      <c r="X718" t="inlineStr">
        <is>
          <t>1990-03-13</t>
        </is>
      </c>
      <c r="Y718" t="n">
        <v>884</v>
      </c>
      <c r="Z718" t="n">
        <v>819</v>
      </c>
      <c r="AA718" t="n">
        <v>825</v>
      </c>
      <c r="AB718" t="n">
        <v>9</v>
      </c>
      <c r="AC718" t="n">
        <v>9</v>
      </c>
      <c r="AD718" t="n">
        <v>20</v>
      </c>
      <c r="AE718" t="n">
        <v>20</v>
      </c>
      <c r="AF718" t="n">
        <v>8</v>
      </c>
      <c r="AG718" t="n">
        <v>8</v>
      </c>
      <c r="AH718" t="n">
        <v>2</v>
      </c>
      <c r="AI718" t="n">
        <v>2</v>
      </c>
      <c r="AJ718" t="n">
        <v>8</v>
      </c>
      <c r="AK718" t="n">
        <v>8</v>
      </c>
      <c r="AL718" t="n">
        <v>6</v>
      </c>
      <c r="AM718" t="n">
        <v>6</v>
      </c>
      <c r="AN718" t="n">
        <v>0</v>
      </c>
      <c r="AO718" t="n">
        <v>0</v>
      </c>
      <c r="AP718" t="inlineStr">
        <is>
          <t>No</t>
        </is>
      </c>
      <c r="AQ718" t="inlineStr">
        <is>
          <t>No</t>
        </is>
      </c>
      <c r="AS718">
        <f>HYPERLINK("https://creighton-primo.hosted.exlibrisgroup.com/primo-explore/search?tab=default_tab&amp;search_scope=EVERYTHING&amp;vid=01CRU&amp;lang=en_US&amp;offset=0&amp;query=any,contains,991000408939702656","Catalog Record")</f>
        <v/>
      </c>
      <c r="AT718">
        <f>HYPERLINK("http://www.worldcat.org/oclc/10696798","WorldCat Record")</f>
        <v/>
      </c>
      <c r="AU718" t="inlineStr">
        <is>
          <t>2564819564:eng</t>
        </is>
      </c>
      <c r="AV718" t="inlineStr">
        <is>
          <t>10696798</t>
        </is>
      </c>
      <c r="AW718" t="inlineStr">
        <is>
          <t>991000408939702656</t>
        </is>
      </c>
      <c r="AX718" t="inlineStr">
        <is>
          <t>991000408939702656</t>
        </is>
      </c>
      <c r="AY718" t="inlineStr">
        <is>
          <t>2269241940002656</t>
        </is>
      </c>
      <c r="AZ718" t="inlineStr">
        <is>
          <t>BOOK</t>
        </is>
      </c>
      <c r="BB718" t="inlineStr">
        <is>
          <t>9780060153427</t>
        </is>
      </c>
      <c r="BC718" t="inlineStr">
        <is>
          <t>32285000079490</t>
        </is>
      </c>
      <c r="BD718" t="inlineStr">
        <is>
          <t>893425665</t>
        </is>
      </c>
    </row>
    <row r="719">
      <c r="A719" t="inlineStr">
        <is>
          <t>No</t>
        </is>
      </c>
      <c r="B719" t="inlineStr">
        <is>
          <t>BF632 .M22</t>
        </is>
      </c>
      <c r="C719" t="inlineStr">
        <is>
          <t>0                      BF 0632000M  22</t>
        </is>
      </c>
      <c r="D719" t="inlineStr">
        <is>
          <t>Self-control : power to the person / [by] Michael J. Mahoney [and] Carl E. Thoresen.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K719" t="inlineStr">
        <is>
          <t>Mahoney, Michael J.</t>
        </is>
      </c>
      <c r="L719" t="inlineStr">
        <is>
          <t>Monterey, Calif. : Brooks/Cole Pub. Co., [1974]</t>
        </is>
      </c>
      <c r="M719" t="inlineStr">
        <is>
          <t>1974</t>
        </is>
      </c>
      <c r="O719" t="inlineStr">
        <is>
          <t>eng</t>
        </is>
      </c>
      <c r="P719" t="inlineStr">
        <is>
          <t>cau</t>
        </is>
      </c>
      <c r="R719" t="inlineStr">
        <is>
          <t xml:space="preserve">BF </t>
        </is>
      </c>
      <c r="S719" t="n">
        <v>3</v>
      </c>
      <c r="T719" t="n">
        <v>3</v>
      </c>
      <c r="U719" t="inlineStr">
        <is>
          <t>2010-02-05</t>
        </is>
      </c>
      <c r="V719" t="inlineStr">
        <is>
          <t>2010-02-05</t>
        </is>
      </c>
      <c r="W719" t="inlineStr">
        <is>
          <t>1993-02-26</t>
        </is>
      </c>
      <c r="X719" t="inlineStr">
        <is>
          <t>1993-02-26</t>
        </is>
      </c>
      <c r="Y719" t="n">
        <v>422</v>
      </c>
      <c r="Z719" t="n">
        <v>336</v>
      </c>
      <c r="AA719" t="n">
        <v>338</v>
      </c>
      <c r="AB719" t="n">
        <v>4</v>
      </c>
      <c r="AC719" t="n">
        <v>4</v>
      </c>
      <c r="AD719" t="n">
        <v>16</v>
      </c>
      <c r="AE719" t="n">
        <v>16</v>
      </c>
      <c r="AF719" t="n">
        <v>8</v>
      </c>
      <c r="AG719" t="n">
        <v>8</v>
      </c>
      <c r="AH719" t="n">
        <v>3</v>
      </c>
      <c r="AI719" t="n">
        <v>3</v>
      </c>
      <c r="AJ719" t="n">
        <v>6</v>
      </c>
      <c r="AK719" t="n">
        <v>6</v>
      </c>
      <c r="AL719" t="n">
        <v>1</v>
      </c>
      <c r="AM719" t="n">
        <v>1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HYPERLINK("http://catalog.hathitrust.org/Record/000015252","HathiTrust Record")</f>
        <v/>
      </c>
      <c r="AS719">
        <f>HYPERLINK("https://creighton-primo.hosted.exlibrisgroup.com/primo-explore/search?tab=default_tab&amp;search_scope=EVERYTHING&amp;vid=01CRU&amp;lang=en_US&amp;offset=0&amp;query=any,contains,991003408419702656","Catalog Record")</f>
        <v/>
      </c>
      <c r="AT719">
        <f>HYPERLINK("http://www.worldcat.org/oclc/947693","WorldCat Record")</f>
        <v/>
      </c>
      <c r="AU719" t="inlineStr">
        <is>
          <t>3857506813:eng</t>
        </is>
      </c>
      <c r="AV719" t="inlineStr">
        <is>
          <t>947693</t>
        </is>
      </c>
      <c r="AW719" t="inlineStr">
        <is>
          <t>991003408419702656</t>
        </is>
      </c>
      <c r="AX719" t="inlineStr">
        <is>
          <t>991003408419702656</t>
        </is>
      </c>
      <c r="AY719" t="inlineStr">
        <is>
          <t>2264458070002656</t>
        </is>
      </c>
      <c r="AZ719" t="inlineStr">
        <is>
          <t>BOOK</t>
        </is>
      </c>
      <c r="BB719" t="inlineStr">
        <is>
          <t>9780818501210</t>
        </is>
      </c>
      <c r="BC719" t="inlineStr">
        <is>
          <t>32285001540045</t>
        </is>
      </c>
      <c r="BD719" t="inlineStr">
        <is>
          <t>893721940</t>
        </is>
      </c>
    </row>
    <row r="720">
      <c r="A720" t="inlineStr">
        <is>
          <t>No</t>
        </is>
      </c>
      <c r="B720" t="inlineStr">
        <is>
          <t>BF632.5 .B73 1981</t>
        </is>
      </c>
      <c r="C720" t="inlineStr">
        <is>
          <t>0                      BF 0632500B  73          1981</t>
        </is>
      </c>
      <c r="D720" t="inlineStr">
        <is>
          <t>Psychological reactance : a theory of freedom and control / Sharon S. Brehm, Jack W. Brehm.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Brehm, Sharon S.</t>
        </is>
      </c>
      <c r="L720" t="inlineStr">
        <is>
          <t>New York : Academic Press, 1981.</t>
        </is>
      </c>
      <c r="M720" t="inlineStr">
        <is>
          <t>1981</t>
        </is>
      </c>
      <c r="O720" t="inlineStr">
        <is>
          <t>eng</t>
        </is>
      </c>
      <c r="P720" t="inlineStr">
        <is>
          <t>nyu</t>
        </is>
      </c>
      <c r="R720" t="inlineStr">
        <is>
          <t xml:space="preserve">BF </t>
        </is>
      </c>
      <c r="S720" t="n">
        <v>5</v>
      </c>
      <c r="T720" t="n">
        <v>5</v>
      </c>
      <c r="U720" t="inlineStr">
        <is>
          <t>2008-03-11</t>
        </is>
      </c>
      <c r="V720" t="inlineStr">
        <is>
          <t>2008-03-11</t>
        </is>
      </c>
      <c r="W720" t="inlineStr">
        <is>
          <t>1993-03-31</t>
        </is>
      </c>
      <c r="X720" t="inlineStr">
        <is>
          <t>1993-03-31</t>
        </is>
      </c>
      <c r="Y720" t="n">
        <v>425</v>
      </c>
      <c r="Z720" t="n">
        <v>316</v>
      </c>
      <c r="AA720" t="n">
        <v>360</v>
      </c>
      <c r="AB720" t="n">
        <v>3</v>
      </c>
      <c r="AC720" t="n">
        <v>4</v>
      </c>
      <c r="AD720" t="n">
        <v>16</v>
      </c>
      <c r="AE720" t="n">
        <v>19</v>
      </c>
      <c r="AF720" t="n">
        <v>5</v>
      </c>
      <c r="AG720" t="n">
        <v>6</v>
      </c>
      <c r="AH720" t="n">
        <v>3</v>
      </c>
      <c r="AI720" t="n">
        <v>4</v>
      </c>
      <c r="AJ720" t="n">
        <v>13</v>
      </c>
      <c r="AK720" t="n">
        <v>13</v>
      </c>
      <c r="AL720" t="n">
        <v>2</v>
      </c>
      <c r="AM720" t="n">
        <v>3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HYPERLINK("http://catalog.hathitrust.org/Record/000143869","HathiTrust Record")</f>
        <v/>
      </c>
      <c r="AS720">
        <f>HYPERLINK("https://creighton-primo.hosted.exlibrisgroup.com/primo-explore/search?tab=default_tab&amp;search_scope=EVERYTHING&amp;vid=01CRU&amp;lang=en_US&amp;offset=0&amp;query=any,contains,991005154869702656","Catalog Record")</f>
        <v/>
      </c>
      <c r="AT720">
        <f>HYPERLINK("http://www.worldcat.org/oclc/7738330","WorldCat Record")</f>
        <v/>
      </c>
      <c r="AU720" t="inlineStr">
        <is>
          <t>197656373:eng</t>
        </is>
      </c>
      <c r="AV720" t="inlineStr">
        <is>
          <t>7738330</t>
        </is>
      </c>
      <c r="AW720" t="inlineStr">
        <is>
          <t>991005154869702656</t>
        </is>
      </c>
      <c r="AX720" t="inlineStr">
        <is>
          <t>991005154869702656</t>
        </is>
      </c>
      <c r="AY720" t="inlineStr">
        <is>
          <t>2257978260002656</t>
        </is>
      </c>
      <c r="AZ720" t="inlineStr">
        <is>
          <t>BOOK</t>
        </is>
      </c>
      <c r="BB720" t="inlineStr">
        <is>
          <t>9780121298401</t>
        </is>
      </c>
      <c r="BC720" t="inlineStr">
        <is>
          <t>32285001596351</t>
        </is>
      </c>
      <c r="BD720" t="inlineStr">
        <is>
          <t>893902210</t>
        </is>
      </c>
    </row>
    <row r="721">
      <c r="A721" t="inlineStr">
        <is>
          <t>No</t>
        </is>
      </c>
      <c r="B721" t="inlineStr">
        <is>
          <t>BF632.5 .T83 1984</t>
        </is>
      </c>
      <c r="C721" t="inlineStr">
        <is>
          <t>0                      BF 0632500T  83          1984</t>
        </is>
      </c>
      <c r="D721" t="inlineStr">
        <is>
          <t>Dominance &amp; affection : the making of pets / Yi-Fu Tuan.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K721" t="inlineStr">
        <is>
          <t>Tuan, Yi-fu, 1930-</t>
        </is>
      </c>
      <c r="L721" t="inlineStr">
        <is>
          <t>New Haven : Yale University Press, c1984.</t>
        </is>
      </c>
      <c r="M721" t="inlineStr">
        <is>
          <t>1984</t>
        </is>
      </c>
      <c r="O721" t="inlineStr">
        <is>
          <t>eng</t>
        </is>
      </c>
      <c r="P721" t="inlineStr">
        <is>
          <t>ctu</t>
        </is>
      </c>
      <c r="R721" t="inlineStr">
        <is>
          <t xml:space="preserve">BF </t>
        </is>
      </c>
      <c r="S721" t="n">
        <v>3</v>
      </c>
      <c r="T721" t="n">
        <v>3</v>
      </c>
      <c r="U721" t="inlineStr">
        <is>
          <t>1994-10-09</t>
        </is>
      </c>
      <c r="V721" t="inlineStr">
        <is>
          <t>1994-10-09</t>
        </is>
      </c>
      <c r="W721" t="inlineStr">
        <is>
          <t>1991-11-25</t>
        </is>
      </c>
      <c r="X721" t="inlineStr">
        <is>
          <t>1991-11-25</t>
        </is>
      </c>
      <c r="Y721" t="n">
        <v>714</v>
      </c>
      <c r="Z721" t="n">
        <v>600</v>
      </c>
      <c r="AA721" t="n">
        <v>766</v>
      </c>
      <c r="AB721" t="n">
        <v>5</v>
      </c>
      <c r="AC721" t="n">
        <v>5</v>
      </c>
      <c r="AD721" t="n">
        <v>24</v>
      </c>
      <c r="AE721" t="n">
        <v>33</v>
      </c>
      <c r="AF721" t="n">
        <v>8</v>
      </c>
      <c r="AG721" t="n">
        <v>14</v>
      </c>
      <c r="AH721" t="n">
        <v>7</v>
      </c>
      <c r="AI721" t="n">
        <v>10</v>
      </c>
      <c r="AJ721" t="n">
        <v>9</v>
      </c>
      <c r="AK721" t="n">
        <v>13</v>
      </c>
      <c r="AL721" t="n">
        <v>4</v>
      </c>
      <c r="AM721" t="n">
        <v>4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HYPERLINK("https://creighton-primo.hosted.exlibrisgroup.com/primo-explore/search?tab=default_tab&amp;search_scope=EVERYTHING&amp;vid=01CRU&amp;lang=en_US&amp;offset=0&amp;query=any,contains,991000385769702656","Catalog Record")</f>
        <v/>
      </c>
      <c r="AT721">
        <f>HYPERLINK("http://www.worldcat.org/oclc/10507757","WorldCat Record")</f>
        <v/>
      </c>
      <c r="AU721" t="inlineStr">
        <is>
          <t>836657847:eng</t>
        </is>
      </c>
      <c r="AV721" t="inlineStr">
        <is>
          <t>10507757</t>
        </is>
      </c>
      <c r="AW721" t="inlineStr">
        <is>
          <t>991000385769702656</t>
        </is>
      </c>
      <c r="AX721" t="inlineStr">
        <is>
          <t>991000385769702656</t>
        </is>
      </c>
      <c r="AY721" t="inlineStr">
        <is>
          <t>2256915340002656</t>
        </is>
      </c>
      <c r="AZ721" t="inlineStr">
        <is>
          <t>BOOK</t>
        </is>
      </c>
      <c r="BB721" t="inlineStr">
        <is>
          <t>9780300032222</t>
        </is>
      </c>
      <c r="BC721" t="inlineStr">
        <is>
          <t>32285000845338</t>
        </is>
      </c>
      <c r="BD721" t="inlineStr">
        <is>
          <t>893515224</t>
        </is>
      </c>
    </row>
    <row r="722">
      <c r="A722" t="inlineStr">
        <is>
          <t>No</t>
        </is>
      </c>
      <c r="B722" t="inlineStr">
        <is>
          <t>BF633 .S3 1975</t>
        </is>
      </c>
      <c r="C722" t="inlineStr">
        <is>
          <t>0                      BF 0633000S  3           1975</t>
        </is>
      </c>
      <c r="D722" t="inlineStr">
        <is>
          <t>Battle for the mind : a physiology of conversion and brain-washing / by William Sargant.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Sargant, William Walters.</t>
        </is>
      </c>
      <c r="L722" t="inlineStr">
        <is>
          <t>Westport, Conn. : Greenwood Press, [1975, c1957]</t>
        </is>
      </c>
      <c r="M722" t="inlineStr">
        <is>
          <t>1975</t>
        </is>
      </c>
      <c r="O722" t="inlineStr">
        <is>
          <t>eng</t>
        </is>
      </c>
      <c r="P722" t="inlineStr">
        <is>
          <t>ctu</t>
        </is>
      </c>
      <c r="R722" t="inlineStr">
        <is>
          <t xml:space="preserve">BF </t>
        </is>
      </c>
      <c r="S722" t="n">
        <v>13</v>
      </c>
      <c r="T722" t="n">
        <v>13</v>
      </c>
      <c r="U722" t="inlineStr">
        <is>
          <t>2005-10-24</t>
        </is>
      </c>
      <c r="V722" t="inlineStr">
        <is>
          <t>2005-10-24</t>
        </is>
      </c>
      <c r="W722" t="inlineStr">
        <is>
          <t>1992-04-09</t>
        </is>
      </c>
      <c r="X722" t="inlineStr">
        <is>
          <t>1992-04-09</t>
        </is>
      </c>
      <c r="Y722" t="n">
        <v>163</v>
      </c>
      <c r="Z722" t="n">
        <v>135</v>
      </c>
      <c r="AA722" t="n">
        <v>820</v>
      </c>
      <c r="AB722" t="n">
        <v>2</v>
      </c>
      <c r="AC722" t="n">
        <v>6</v>
      </c>
      <c r="AD722" t="n">
        <v>4</v>
      </c>
      <c r="AE722" t="n">
        <v>34</v>
      </c>
      <c r="AF722" t="n">
        <v>1</v>
      </c>
      <c r="AG722" t="n">
        <v>14</v>
      </c>
      <c r="AH722" t="n">
        <v>0</v>
      </c>
      <c r="AI722" t="n">
        <v>8</v>
      </c>
      <c r="AJ722" t="n">
        <v>2</v>
      </c>
      <c r="AK722" t="n">
        <v>16</v>
      </c>
      <c r="AL722" t="n">
        <v>1</v>
      </c>
      <c r="AM722" t="n">
        <v>3</v>
      </c>
      <c r="AN722" t="n">
        <v>0</v>
      </c>
      <c r="AO722" t="n">
        <v>1</v>
      </c>
      <c r="AP722" t="inlineStr">
        <is>
          <t>No</t>
        </is>
      </c>
      <c r="AQ722" t="inlineStr">
        <is>
          <t>Yes</t>
        </is>
      </c>
      <c r="AR722">
        <f>HYPERLINK("http://catalog.hathitrust.org/Record/000381977","HathiTrust Record")</f>
        <v/>
      </c>
      <c r="AS722">
        <f>HYPERLINK("https://creighton-primo.hosted.exlibrisgroup.com/primo-explore/search?tab=default_tab&amp;search_scope=EVERYTHING&amp;vid=01CRU&amp;lang=en_US&amp;offset=0&amp;query=any,contains,991003069229702656","Catalog Record")</f>
        <v/>
      </c>
      <c r="AT722">
        <f>HYPERLINK("http://www.worldcat.org/oclc/624002","WorldCat Record")</f>
        <v/>
      </c>
      <c r="AU722" t="inlineStr">
        <is>
          <t>500754:eng</t>
        </is>
      </c>
      <c r="AV722" t="inlineStr">
        <is>
          <t>624002</t>
        </is>
      </c>
      <c r="AW722" t="inlineStr">
        <is>
          <t>991003069229702656</t>
        </is>
      </c>
      <c r="AX722" t="inlineStr">
        <is>
          <t>991003069229702656</t>
        </is>
      </c>
      <c r="AY722" t="inlineStr">
        <is>
          <t>2258675620002656</t>
        </is>
      </c>
      <c r="AZ722" t="inlineStr">
        <is>
          <t>BOOK</t>
        </is>
      </c>
      <c r="BB722" t="inlineStr">
        <is>
          <t>9780837168999</t>
        </is>
      </c>
      <c r="BC722" t="inlineStr">
        <is>
          <t>32285001057412</t>
        </is>
      </c>
      <c r="BD722" t="inlineStr">
        <is>
          <t>893610689</t>
        </is>
      </c>
    </row>
    <row r="723">
      <c r="A723" t="inlineStr">
        <is>
          <t>No</t>
        </is>
      </c>
      <c r="B723" t="inlineStr">
        <is>
          <t>BF636 .B2</t>
        </is>
      </c>
      <c r="C723" t="inlineStr">
        <is>
          <t>0                      BF 0636000B  2</t>
        </is>
      </c>
      <c r="D723" t="inlineStr">
        <is>
          <t>Pairing / by George R. Bach and Ronald M. Deutsch.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Bach, George R. (George Robert), 1914-1986.</t>
        </is>
      </c>
      <c r="L723" t="inlineStr">
        <is>
          <t>New York : P. H. Wyden, [1970]</t>
        </is>
      </c>
      <c r="M723" t="inlineStr">
        <is>
          <t>1970</t>
        </is>
      </c>
      <c r="O723" t="inlineStr">
        <is>
          <t>eng</t>
        </is>
      </c>
      <c r="P723" t="inlineStr">
        <is>
          <t>nyu</t>
        </is>
      </c>
      <c r="R723" t="inlineStr">
        <is>
          <t xml:space="preserve">BF </t>
        </is>
      </c>
      <c r="S723" t="n">
        <v>5</v>
      </c>
      <c r="T723" t="n">
        <v>5</v>
      </c>
      <c r="U723" t="inlineStr">
        <is>
          <t>2001-04-16</t>
        </is>
      </c>
      <c r="V723" t="inlineStr">
        <is>
          <t>2001-04-16</t>
        </is>
      </c>
      <c r="W723" t="inlineStr">
        <is>
          <t>1992-02-21</t>
        </is>
      </c>
      <c r="X723" t="inlineStr">
        <is>
          <t>1992-02-21</t>
        </is>
      </c>
      <c r="Y723" t="n">
        <v>328</v>
      </c>
      <c r="Z723" t="n">
        <v>297</v>
      </c>
      <c r="AA723" t="n">
        <v>448</v>
      </c>
      <c r="AB723" t="n">
        <v>3</v>
      </c>
      <c r="AC723" t="n">
        <v>5</v>
      </c>
      <c r="AD723" t="n">
        <v>5</v>
      </c>
      <c r="AE723" t="n">
        <v>13</v>
      </c>
      <c r="AF723" t="n">
        <v>1</v>
      </c>
      <c r="AG723" t="n">
        <v>4</v>
      </c>
      <c r="AH723" t="n">
        <v>1</v>
      </c>
      <c r="AI723" t="n">
        <v>2</v>
      </c>
      <c r="AJ723" t="n">
        <v>3</v>
      </c>
      <c r="AK723" t="n">
        <v>6</v>
      </c>
      <c r="AL723" t="n">
        <v>1</v>
      </c>
      <c r="AM723" t="n">
        <v>3</v>
      </c>
      <c r="AN723" t="n">
        <v>0</v>
      </c>
      <c r="AO723" t="n">
        <v>0</v>
      </c>
      <c r="AP723" t="inlineStr">
        <is>
          <t>No</t>
        </is>
      </c>
      <c r="AQ723" t="inlineStr">
        <is>
          <t>Yes</t>
        </is>
      </c>
      <c r="AR723">
        <f>HYPERLINK("http://catalog.hathitrust.org/Record/000382011","HathiTrust Record")</f>
        <v/>
      </c>
      <c r="AS723">
        <f>HYPERLINK("https://creighton-primo.hosted.exlibrisgroup.com/primo-explore/search?tab=default_tab&amp;search_scope=EVERYTHING&amp;vid=01CRU&amp;lang=en_US&amp;offset=0&amp;query=any,contains,991000604299702656","Catalog Record")</f>
        <v/>
      </c>
      <c r="AT723">
        <f>HYPERLINK("http://www.worldcat.org/oclc/98575","WorldCat Record")</f>
        <v/>
      </c>
      <c r="AU723" t="inlineStr">
        <is>
          <t>142437933:eng</t>
        </is>
      </c>
      <c r="AV723" t="inlineStr">
        <is>
          <t>98575</t>
        </is>
      </c>
      <c r="AW723" t="inlineStr">
        <is>
          <t>991000604299702656</t>
        </is>
      </c>
      <c r="AX723" t="inlineStr">
        <is>
          <t>991000604299702656</t>
        </is>
      </c>
      <c r="AY723" t="inlineStr">
        <is>
          <t>2271942130002656</t>
        </is>
      </c>
      <c r="AZ723" t="inlineStr">
        <is>
          <t>BOOK</t>
        </is>
      </c>
      <c r="BC723" t="inlineStr">
        <is>
          <t>32285000973569</t>
        </is>
      </c>
      <c r="BD723" t="inlineStr">
        <is>
          <t>893608093</t>
        </is>
      </c>
    </row>
    <row r="724">
      <c r="A724" t="inlineStr">
        <is>
          <t>No</t>
        </is>
      </c>
      <c r="B724" t="inlineStr">
        <is>
          <t>BF636 .B747 1957</t>
        </is>
      </c>
      <c r="C724" t="inlineStr">
        <is>
          <t>0                      BF 0636000B  747         1957</t>
        </is>
      </c>
      <c r="D724" t="inlineStr">
        <is>
          <t>Applied psychology.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K724" t="inlineStr">
        <is>
          <t>Burtt, Harold E. (Harold Ernest), 1890-1991.</t>
        </is>
      </c>
      <c r="L724" t="inlineStr">
        <is>
          <t>Englewood Cliffs, N.J., Prentice-Hall, 1957.</t>
        </is>
      </c>
      <c r="M724" t="inlineStr">
        <is>
          <t>1957</t>
        </is>
      </c>
      <c r="N724" t="inlineStr">
        <is>
          <t>2d ed.</t>
        </is>
      </c>
      <c r="O724" t="inlineStr">
        <is>
          <t>eng</t>
        </is>
      </c>
      <c r="P724" t="inlineStr">
        <is>
          <t>nju</t>
        </is>
      </c>
      <c r="R724" t="inlineStr">
        <is>
          <t xml:space="preserve">BF </t>
        </is>
      </c>
      <c r="S724" t="n">
        <v>2</v>
      </c>
      <c r="T724" t="n">
        <v>2</v>
      </c>
      <c r="U724" t="inlineStr">
        <is>
          <t>1996-11-14</t>
        </is>
      </c>
      <c r="V724" t="inlineStr">
        <is>
          <t>1996-11-14</t>
        </is>
      </c>
      <c r="W724" t="inlineStr">
        <is>
          <t>1996-07-30</t>
        </is>
      </c>
      <c r="X724" t="inlineStr">
        <is>
          <t>1996-07-30</t>
        </is>
      </c>
      <c r="Y724" t="n">
        <v>292</v>
      </c>
      <c r="Z724" t="n">
        <v>247</v>
      </c>
      <c r="AA724" t="n">
        <v>477</v>
      </c>
      <c r="AB724" t="n">
        <v>4</v>
      </c>
      <c r="AC724" t="n">
        <v>6</v>
      </c>
      <c r="AD724" t="n">
        <v>13</v>
      </c>
      <c r="AE724" t="n">
        <v>26</v>
      </c>
      <c r="AF724" t="n">
        <v>5</v>
      </c>
      <c r="AG724" t="n">
        <v>9</v>
      </c>
      <c r="AH724" t="n">
        <v>3</v>
      </c>
      <c r="AI724" t="n">
        <v>6</v>
      </c>
      <c r="AJ724" t="n">
        <v>6</v>
      </c>
      <c r="AK724" t="n">
        <v>14</v>
      </c>
      <c r="AL724" t="n">
        <v>3</v>
      </c>
      <c r="AM724" t="n">
        <v>5</v>
      </c>
      <c r="AN724" t="n">
        <v>0</v>
      </c>
      <c r="AO724" t="n">
        <v>0</v>
      </c>
      <c r="AP724" t="inlineStr">
        <is>
          <t>No</t>
        </is>
      </c>
      <c r="AQ724" t="inlineStr">
        <is>
          <t>Yes</t>
        </is>
      </c>
      <c r="AR724">
        <f>HYPERLINK("http://catalog.hathitrust.org/Record/000385681","HathiTrust Record")</f>
        <v/>
      </c>
      <c r="AS724">
        <f>HYPERLINK("https://creighton-primo.hosted.exlibrisgroup.com/primo-explore/search?tab=default_tab&amp;search_scope=EVERYTHING&amp;vid=01CRU&amp;lang=en_US&amp;offset=0&amp;query=any,contains,991001377359702656","Catalog Record")</f>
        <v/>
      </c>
      <c r="AT724">
        <f>HYPERLINK("http://www.worldcat.org/oclc/225322","WorldCat Record")</f>
        <v/>
      </c>
      <c r="AU724" t="inlineStr">
        <is>
          <t>3377292486:eng</t>
        </is>
      </c>
      <c r="AV724" t="inlineStr">
        <is>
          <t>225322</t>
        </is>
      </c>
      <c r="AW724" t="inlineStr">
        <is>
          <t>991001377359702656</t>
        </is>
      </c>
      <c r="AX724" t="inlineStr">
        <is>
          <t>991001377359702656</t>
        </is>
      </c>
      <c r="AY724" t="inlineStr">
        <is>
          <t>2263763470002656</t>
        </is>
      </c>
      <c r="AZ724" t="inlineStr">
        <is>
          <t>BOOK</t>
        </is>
      </c>
      <c r="BC724" t="inlineStr">
        <is>
          <t>32285002250396</t>
        </is>
      </c>
      <c r="BD724" t="inlineStr">
        <is>
          <t>893250204</t>
        </is>
      </c>
    </row>
    <row r="725">
      <c r="A725" t="inlineStr">
        <is>
          <t>No</t>
        </is>
      </c>
      <c r="B725" t="inlineStr">
        <is>
          <t>BF636 .G5 1977</t>
        </is>
      </c>
      <c r="C725" t="inlineStr">
        <is>
          <t>0                      BF 0636000G  5           1977</t>
        </is>
      </c>
      <c r="D725" t="inlineStr">
        <is>
          <t>How to size up people : popular approaches to basic psychological principles / by John E. Gibson.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Gibson, John E.</t>
        </is>
      </c>
      <c r="L725" t="inlineStr">
        <is>
          <t>St. Paul : Carillon, 1977.</t>
        </is>
      </c>
      <c r="M725" t="inlineStr">
        <is>
          <t>1977</t>
        </is>
      </c>
      <c r="O725" t="inlineStr">
        <is>
          <t>eng</t>
        </is>
      </c>
      <c r="P725" t="inlineStr">
        <is>
          <t>mnu</t>
        </is>
      </c>
      <c r="R725" t="inlineStr">
        <is>
          <t xml:space="preserve">BF </t>
        </is>
      </c>
      <c r="S725" t="n">
        <v>6</v>
      </c>
      <c r="T725" t="n">
        <v>6</v>
      </c>
      <c r="U725" t="inlineStr">
        <is>
          <t>1994-04-24</t>
        </is>
      </c>
      <c r="V725" t="inlineStr">
        <is>
          <t>1994-04-24</t>
        </is>
      </c>
      <c r="W725" t="inlineStr">
        <is>
          <t>1992-05-15</t>
        </is>
      </c>
      <c r="X725" t="inlineStr">
        <is>
          <t>1992-05-15</t>
        </is>
      </c>
      <c r="Y725" t="n">
        <v>38</v>
      </c>
      <c r="Z725" t="n">
        <v>37</v>
      </c>
      <c r="AA725" t="n">
        <v>42</v>
      </c>
      <c r="AB725" t="n">
        <v>2</v>
      </c>
      <c r="AC725" t="n">
        <v>2</v>
      </c>
      <c r="AD725" t="n">
        <v>1</v>
      </c>
      <c r="AE725" t="n">
        <v>1</v>
      </c>
      <c r="AF725" t="n">
        <v>0</v>
      </c>
      <c r="AG725" t="n">
        <v>0</v>
      </c>
      <c r="AH725" t="n">
        <v>0</v>
      </c>
      <c r="AI725" t="n">
        <v>0</v>
      </c>
      <c r="AJ725" t="n">
        <v>1</v>
      </c>
      <c r="AK725" t="n">
        <v>1</v>
      </c>
      <c r="AL725" t="n">
        <v>0</v>
      </c>
      <c r="AM725" t="n">
        <v>0</v>
      </c>
      <c r="AN725" t="n">
        <v>0</v>
      </c>
      <c r="AO725" t="n">
        <v>0</v>
      </c>
      <c r="AP725" t="inlineStr">
        <is>
          <t>No</t>
        </is>
      </c>
      <c r="AQ725" t="inlineStr">
        <is>
          <t>No</t>
        </is>
      </c>
      <c r="AS725">
        <f>HYPERLINK("https://creighton-primo.hosted.exlibrisgroup.com/primo-explore/search?tab=default_tab&amp;search_scope=EVERYTHING&amp;vid=01CRU&amp;lang=en_US&amp;offset=0&amp;query=any,contains,991004710269702656","Catalog Record")</f>
        <v/>
      </c>
      <c r="AT725">
        <f>HYPERLINK("http://www.worldcat.org/oclc/3776657","WorldCat Record")</f>
        <v/>
      </c>
      <c r="AU725" t="inlineStr">
        <is>
          <t>10149969044:eng</t>
        </is>
      </c>
      <c r="AV725" t="inlineStr">
        <is>
          <t>3776657</t>
        </is>
      </c>
      <c r="AW725" t="inlineStr">
        <is>
          <t>991004710269702656</t>
        </is>
      </c>
      <c r="AX725" t="inlineStr">
        <is>
          <t>991004710269702656</t>
        </is>
      </c>
      <c r="AY725" t="inlineStr">
        <is>
          <t>2262382950002656</t>
        </is>
      </c>
      <c r="AZ725" t="inlineStr">
        <is>
          <t>BOOK</t>
        </is>
      </c>
      <c r="BC725" t="inlineStr">
        <is>
          <t>32285001118230</t>
        </is>
      </c>
      <c r="BD725" t="inlineStr">
        <is>
          <t>893513569</t>
        </is>
      </c>
    </row>
    <row r="726">
      <c r="A726" t="inlineStr">
        <is>
          <t>No</t>
        </is>
      </c>
      <c r="B726" t="inlineStr">
        <is>
          <t>BF636 .G56 1987</t>
        </is>
      </c>
      <c r="C726" t="inlineStr">
        <is>
          <t>0                      BF 0636000G  56          1987</t>
        </is>
      </c>
      <c r="D726" t="inlineStr">
        <is>
          <t>Modern applied psychology / Arnold P. Goldstein, Leonard Krasner.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Goldstein, Arnold P.</t>
        </is>
      </c>
      <c r="L726" t="inlineStr">
        <is>
          <t>New York : Pergamon Press, 1987.</t>
        </is>
      </c>
      <c r="M726" t="inlineStr">
        <is>
          <t>1987</t>
        </is>
      </c>
      <c r="O726" t="inlineStr">
        <is>
          <t>eng</t>
        </is>
      </c>
      <c r="P726" t="inlineStr">
        <is>
          <t>nyu</t>
        </is>
      </c>
      <c r="Q726" t="inlineStr">
        <is>
          <t>Pergamon general psychology series ; 145</t>
        </is>
      </c>
      <c r="R726" t="inlineStr">
        <is>
          <t xml:space="preserve">BF </t>
        </is>
      </c>
      <c r="S726" t="n">
        <v>4</v>
      </c>
      <c r="T726" t="n">
        <v>4</v>
      </c>
      <c r="U726" t="inlineStr">
        <is>
          <t>1997-04-09</t>
        </is>
      </c>
      <c r="V726" t="inlineStr">
        <is>
          <t>1997-04-09</t>
        </is>
      </c>
      <c r="W726" t="inlineStr">
        <is>
          <t>1993-04-01</t>
        </is>
      </c>
      <c r="X726" t="inlineStr">
        <is>
          <t>1993-04-01</t>
        </is>
      </c>
      <c r="Y726" t="n">
        <v>581</v>
      </c>
      <c r="Z726" t="n">
        <v>460</v>
      </c>
      <c r="AA726" t="n">
        <v>467</v>
      </c>
      <c r="AB726" t="n">
        <v>3</v>
      </c>
      <c r="AC726" t="n">
        <v>3</v>
      </c>
      <c r="AD726" t="n">
        <v>23</v>
      </c>
      <c r="AE726" t="n">
        <v>23</v>
      </c>
      <c r="AF726" t="n">
        <v>10</v>
      </c>
      <c r="AG726" t="n">
        <v>10</v>
      </c>
      <c r="AH726" t="n">
        <v>6</v>
      </c>
      <c r="AI726" t="n">
        <v>6</v>
      </c>
      <c r="AJ726" t="n">
        <v>13</v>
      </c>
      <c r="AK726" t="n">
        <v>13</v>
      </c>
      <c r="AL726" t="n">
        <v>2</v>
      </c>
      <c r="AM726" t="n">
        <v>2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HYPERLINK("http://catalog.hathitrust.org/Record/000873071","HathiTrust Record")</f>
        <v/>
      </c>
      <c r="AS726">
        <f>HYPERLINK("https://creighton-primo.hosted.exlibrisgroup.com/primo-explore/search?tab=default_tab&amp;search_scope=EVERYTHING&amp;vid=01CRU&amp;lang=en_US&amp;offset=0&amp;query=any,contains,991000914039702656","Catalog Record")</f>
        <v/>
      </c>
      <c r="AT726">
        <f>HYPERLINK("http://www.worldcat.org/oclc/14165557","WorldCat Record")</f>
        <v/>
      </c>
      <c r="AU726" t="inlineStr">
        <is>
          <t>7169099:eng</t>
        </is>
      </c>
      <c r="AV726" t="inlineStr">
        <is>
          <t>14165557</t>
        </is>
      </c>
      <c r="AW726" t="inlineStr">
        <is>
          <t>991000914039702656</t>
        </is>
      </c>
      <c r="AX726" t="inlineStr">
        <is>
          <t>991000914039702656</t>
        </is>
      </c>
      <c r="AY726" t="inlineStr">
        <is>
          <t>2270258320002656</t>
        </is>
      </c>
      <c r="AZ726" t="inlineStr">
        <is>
          <t>BOOK</t>
        </is>
      </c>
      <c r="BB726" t="inlineStr">
        <is>
          <t>9780080345000</t>
        </is>
      </c>
      <c r="BC726" t="inlineStr">
        <is>
          <t>32285001597862</t>
        </is>
      </c>
      <c r="BD726" t="inlineStr">
        <is>
          <t>893696287</t>
        </is>
      </c>
    </row>
    <row r="727">
      <c r="A727" t="inlineStr">
        <is>
          <t>No</t>
        </is>
      </c>
      <c r="B727" t="inlineStr">
        <is>
          <t>BF636 .H64</t>
        </is>
      </c>
      <c r="C727" t="inlineStr">
        <is>
          <t>0                      BF 0636000H  64</t>
        </is>
      </c>
      <c r="D727" t="inlineStr">
        <is>
          <t>The art of working with people.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Hodnett, Edward, 1901-1984.</t>
        </is>
      </c>
      <c r="L727" t="inlineStr">
        <is>
          <t>New York : Harper, [1959]</t>
        </is>
      </c>
      <c r="M727" t="inlineStr">
        <is>
          <t>1959</t>
        </is>
      </c>
      <c r="N727" t="inlineStr">
        <is>
          <t>[1st ed.]</t>
        </is>
      </c>
      <c r="O727" t="inlineStr">
        <is>
          <t>eng</t>
        </is>
      </c>
      <c r="P727" t="inlineStr">
        <is>
          <t>nyu</t>
        </is>
      </c>
      <c r="R727" t="inlineStr">
        <is>
          <t xml:space="preserve">BF </t>
        </is>
      </c>
      <c r="S727" t="n">
        <v>3</v>
      </c>
      <c r="T727" t="n">
        <v>3</v>
      </c>
      <c r="U727" t="inlineStr">
        <is>
          <t>1998-12-01</t>
        </is>
      </c>
      <c r="V727" t="inlineStr">
        <is>
          <t>1998-12-01</t>
        </is>
      </c>
      <c r="W727" t="inlineStr">
        <is>
          <t>1993-07-14</t>
        </is>
      </c>
      <c r="X727" t="inlineStr">
        <is>
          <t>1993-07-14</t>
        </is>
      </c>
      <c r="Y727" t="n">
        <v>286</v>
      </c>
      <c r="Z727" t="n">
        <v>259</v>
      </c>
      <c r="AA727" t="n">
        <v>264</v>
      </c>
      <c r="AB727" t="n">
        <v>1</v>
      </c>
      <c r="AC727" t="n">
        <v>1</v>
      </c>
      <c r="AD727" t="n">
        <v>9</v>
      </c>
      <c r="AE727" t="n">
        <v>9</v>
      </c>
      <c r="AF727" t="n">
        <v>6</v>
      </c>
      <c r="AG727" t="n">
        <v>6</v>
      </c>
      <c r="AH727" t="n">
        <v>2</v>
      </c>
      <c r="AI727" t="n">
        <v>2</v>
      </c>
      <c r="AJ727" t="n">
        <v>4</v>
      </c>
      <c r="AK727" t="n">
        <v>4</v>
      </c>
      <c r="AL727" t="n">
        <v>0</v>
      </c>
      <c r="AM727" t="n">
        <v>0</v>
      </c>
      <c r="AN727" t="n">
        <v>0</v>
      </c>
      <c r="AO727" t="n">
        <v>0</v>
      </c>
      <c r="AP727" t="inlineStr">
        <is>
          <t>Yes</t>
        </is>
      </c>
      <c r="AQ727" t="inlineStr">
        <is>
          <t>No</t>
        </is>
      </c>
      <c r="AR727">
        <f>HYPERLINK("http://catalog.hathitrust.org/Record/009057123","HathiTrust Record")</f>
        <v/>
      </c>
      <c r="AS727">
        <f>HYPERLINK("https://creighton-primo.hosted.exlibrisgroup.com/primo-explore/search?tab=default_tab&amp;search_scope=EVERYTHING&amp;vid=01CRU&amp;lang=en_US&amp;offset=0&amp;query=any,contains,991003544969702656","Catalog Record")</f>
        <v/>
      </c>
      <c r="AT727">
        <f>HYPERLINK("http://www.worldcat.org/oclc/1110993","WorldCat Record")</f>
        <v/>
      </c>
      <c r="AU727" t="inlineStr">
        <is>
          <t>41329224:eng</t>
        </is>
      </c>
      <c r="AV727" t="inlineStr">
        <is>
          <t>1110993</t>
        </is>
      </c>
      <c r="AW727" t="inlineStr">
        <is>
          <t>991003544969702656</t>
        </is>
      </c>
      <c r="AX727" t="inlineStr">
        <is>
          <t>991003544969702656</t>
        </is>
      </c>
      <c r="AY727" t="inlineStr">
        <is>
          <t>2271753090002656</t>
        </is>
      </c>
      <c r="AZ727" t="inlineStr">
        <is>
          <t>BOOK</t>
        </is>
      </c>
      <c r="BC727" t="inlineStr">
        <is>
          <t>32285001723021</t>
        </is>
      </c>
      <c r="BD727" t="inlineStr">
        <is>
          <t>893422681</t>
        </is>
      </c>
    </row>
    <row r="728">
      <c r="A728" t="inlineStr">
        <is>
          <t>No</t>
        </is>
      </c>
      <c r="B728" t="inlineStr">
        <is>
          <t>BF636 .M48</t>
        </is>
      </c>
      <c r="C728" t="inlineStr">
        <is>
          <t>0                      BF 0636000M  48</t>
        </is>
      </c>
      <c r="D728" t="inlineStr">
        <is>
          <t>The process of persuasion, by Clyde R. Miller.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Miller, Clyde R. (Clyde Raymond), 1888-1958.</t>
        </is>
      </c>
      <c r="L728" t="inlineStr">
        <is>
          <t>New York, Crown Publishers [1946]</t>
        </is>
      </c>
      <c r="M728" t="inlineStr">
        <is>
          <t>1946</t>
        </is>
      </c>
      <c r="O728" t="inlineStr">
        <is>
          <t>eng</t>
        </is>
      </c>
      <c r="P728" t="inlineStr">
        <is>
          <t xml:space="preserve">xx </t>
        </is>
      </c>
      <c r="R728" t="inlineStr">
        <is>
          <t xml:space="preserve">BF </t>
        </is>
      </c>
      <c r="S728" t="n">
        <v>1</v>
      </c>
      <c r="T728" t="n">
        <v>1</v>
      </c>
      <c r="U728" t="inlineStr">
        <is>
          <t>2008-03-11</t>
        </is>
      </c>
      <c r="V728" t="inlineStr">
        <is>
          <t>2008-03-11</t>
        </is>
      </c>
      <c r="W728" t="inlineStr">
        <is>
          <t>1996-07-30</t>
        </is>
      </c>
      <c r="X728" t="inlineStr">
        <is>
          <t>1996-07-30</t>
        </is>
      </c>
      <c r="Y728" t="n">
        <v>227</v>
      </c>
      <c r="Z728" t="n">
        <v>210</v>
      </c>
      <c r="AA728" t="n">
        <v>232</v>
      </c>
      <c r="AB728" t="n">
        <v>3</v>
      </c>
      <c r="AC728" t="n">
        <v>4</v>
      </c>
      <c r="AD728" t="n">
        <v>9</v>
      </c>
      <c r="AE728" t="n">
        <v>11</v>
      </c>
      <c r="AF728" t="n">
        <v>2</v>
      </c>
      <c r="AG728" t="n">
        <v>2</v>
      </c>
      <c r="AH728" t="n">
        <v>4</v>
      </c>
      <c r="AI728" t="n">
        <v>4</v>
      </c>
      <c r="AJ728" t="n">
        <v>3</v>
      </c>
      <c r="AK728" t="n">
        <v>4</v>
      </c>
      <c r="AL728" t="n">
        <v>1</v>
      </c>
      <c r="AM728" t="n">
        <v>2</v>
      </c>
      <c r="AN728" t="n">
        <v>0</v>
      </c>
      <c r="AO728" t="n">
        <v>0</v>
      </c>
      <c r="AP728" t="inlineStr">
        <is>
          <t>Yes</t>
        </is>
      </c>
      <c r="AQ728" t="inlineStr">
        <is>
          <t>No</t>
        </is>
      </c>
      <c r="AR728">
        <f>HYPERLINK("http://catalog.hathitrust.org/Record/001109447","HathiTrust Record")</f>
        <v/>
      </c>
      <c r="AS728">
        <f>HYPERLINK("https://creighton-primo.hosted.exlibrisgroup.com/primo-explore/search?tab=default_tab&amp;search_scope=EVERYTHING&amp;vid=01CRU&amp;lang=en_US&amp;offset=0&amp;query=any,contains,991003544859702656","Catalog Record")</f>
        <v/>
      </c>
      <c r="AT728">
        <f>HYPERLINK("http://www.worldcat.org/oclc/1110827","WorldCat Record")</f>
        <v/>
      </c>
      <c r="AU728" t="inlineStr">
        <is>
          <t>422871000:eng</t>
        </is>
      </c>
      <c r="AV728" t="inlineStr">
        <is>
          <t>1110827</t>
        </is>
      </c>
      <c r="AW728" t="inlineStr">
        <is>
          <t>991003544859702656</t>
        </is>
      </c>
      <c r="AX728" t="inlineStr">
        <is>
          <t>991003544859702656</t>
        </is>
      </c>
      <c r="AY728" t="inlineStr">
        <is>
          <t>2271784130002656</t>
        </is>
      </c>
      <c r="AZ728" t="inlineStr">
        <is>
          <t>BOOK</t>
        </is>
      </c>
      <c r="BC728" t="inlineStr">
        <is>
          <t>32285002250586</t>
        </is>
      </c>
      <c r="BD728" t="inlineStr">
        <is>
          <t>893416493</t>
        </is>
      </c>
    </row>
    <row r="729">
      <c r="A729" t="inlineStr">
        <is>
          <t>No</t>
        </is>
      </c>
      <c r="B729" t="inlineStr">
        <is>
          <t>BF636 .T64</t>
        </is>
      </c>
      <c r="C729" t="inlineStr">
        <is>
          <t>0                      BF 0636000T  64</t>
        </is>
      </c>
      <c r="D729" t="inlineStr">
        <is>
          <t>Family constellation; theory and practice of a psychological game. Drawings [by] Miné Okubo.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Toman, Walter.</t>
        </is>
      </c>
      <c r="L729" t="inlineStr">
        <is>
          <t>New York, Springer Pub. Co. [1961]</t>
        </is>
      </c>
      <c r="M729" t="inlineStr">
        <is>
          <t>1961</t>
        </is>
      </c>
      <c r="O729" t="inlineStr">
        <is>
          <t>eng</t>
        </is>
      </c>
      <c r="P729" t="inlineStr">
        <is>
          <t xml:space="preserve">xx </t>
        </is>
      </c>
      <c r="R729" t="inlineStr">
        <is>
          <t xml:space="preserve">BF </t>
        </is>
      </c>
      <c r="S729" t="n">
        <v>6</v>
      </c>
      <c r="T729" t="n">
        <v>6</v>
      </c>
      <c r="U729" t="inlineStr">
        <is>
          <t>1998-09-25</t>
        </is>
      </c>
      <c r="V729" t="inlineStr">
        <is>
          <t>1998-09-25</t>
        </is>
      </c>
      <c r="W729" t="inlineStr">
        <is>
          <t>1996-07-30</t>
        </is>
      </c>
      <c r="X729" t="inlineStr">
        <is>
          <t>1996-07-30</t>
        </is>
      </c>
      <c r="Y729" t="n">
        <v>367</v>
      </c>
      <c r="Z729" t="n">
        <v>337</v>
      </c>
      <c r="AA729" t="n">
        <v>356</v>
      </c>
      <c r="AB729" t="n">
        <v>5</v>
      </c>
      <c r="AC729" t="n">
        <v>5</v>
      </c>
      <c r="AD729" t="n">
        <v>18</v>
      </c>
      <c r="AE729" t="n">
        <v>20</v>
      </c>
      <c r="AF729" t="n">
        <v>4</v>
      </c>
      <c r="AG729" t="n">
        <v>6</v>
      </c>
      <c r="AH729" t="n">
        <v>4</v>
      </c>
      <c r="AI729" t="n">
        <v>4</v>
      </c>
      <c r="AJ729" t="n">
        <v>9</v>
      </c>
      <c r="AK729" t="n">
        <v>10</v>
      </c>
      <c r="AL729" t="n">
        <v>4</v>
      </c>
      <c r="AM729" t="n">
        <v>4</v>
      </c>
      <c r="AN729" t="n">
        <v>0</v>
      </c>
      <c r="AO729" t="n">
        <v>0</v>
      </c>
      <c r="AP729" t="inlineStr">
        <is>
          <t>Yes</t>
        </is>
      </c>
      <c r="AQ729" t="inlineStr">
        <is>
          <t>No</t>
        </is>
      </c>
      <c r="AR729">
        <f>HYPERLINK("http://catalog.hathitrust.org/Record/000429480","HathiTrust Record")</f>
        <v/>
      </c>
      <c r="AS729">
        <f>HYPERLINK("https://creighton-primo.hosted.exlibrisgroup.com/primo-explore/search?tab=default_tab&amp;search_scope=EVERYTHING&amp;vid=01CRU&amp;lang=en_US&amp;offset=0&amp;query=any,contains,991002114359702656","Catalog Record")</f>
        <v/>
      </c>
      <c r="AT729">
        <f>HYPERLINK("http://www.worldcat.org/oclc/268040","WorldCat Record")</f>
        <v/>
      </c>
      <c r="AU729" t="inlineStr">
        <is>
          <t>966107:eng</t>
        </is>
      </c>
      <c r="AV729" t="inlineStr">
        <is>
          <t>268040</t>
        </is>
      </c>
      <c r="AW729" t="inlineStr">
        <is>
          <t>991002114359702656</t>
        </is>
      </c>
      <c r="AX729" t="inlineStr">
        <is>
          <t>991002114359702656</t>
        </is>
      </c>
      <c r="AY729" t="inlineStr">
        <is>
          <t>2270269110002656</t>
        </is>
      </c>
      <c r="AZ729" t="inlineStr">
        <is>
          <t>BOOK</t>
        </is>
      </c>
      <c r="BC729" t="inlineStr">
        <is>
          <t>32285002250677</t>
        </is>
      </c>
      <c r="BD729" t="inlineStr">
        <is>
          <t>893444974</t>
        </is>
      </c>
    </row>
    <row r="730">
      <c r="A730" t="inlineStr">
        <is>
          <t>No</t>
        </is>
      </c>
      <c r="B730" t="inlineStr">
        <is>
          <t>BF636 .W46</t>
        </is>
      </c>
      <c r="C730" t="inlineStr">
        <is>
          <t>0                      BF 0636000W  46</t>
        </is>
      </c>
      <c r="D730" t="inlineStr">
        <is>
          <t>Introduction to clinical psychology for students of medicine, psychology and nursing, by Edward M. Westburgh ...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Westburgh, Edward M.</t>
        </is>
      </c>
      <c r="L730" t="inlineStr">
        <is>
          <t>Philadelphia, P. Blakiston's Son &amp; Co., inc. [c1937]</t>
        </is>
      </c>
      <c r="M730" t="inlineStr">
        <is>
          <t>1937</t>
        </is>
      </c>
      <c r="O730" t="inlineStr">
        <is>
          <t>eng</t>
        </is>
      </c>
      <c r="P730" t="inlineStr">
        <is>
          <t>pau</t>
        </is>
      </c>
      <c r="R730" t="inlineStr">
        <is>
          <t xml:space="preserve">BF </t>
        </is>
      </c>
      <c r="S730" t="n">
        <v>2</v>
      </c>
      <c r="T730" t="n">
        <v>2</v>
      </c>
      <c r="U730" t="inlineStr">
        <is>
          <t>1996-09-22</t>
        </is>
      </c>
      <c r="V730" t="inlineStr">
        <is>
          <t>1996-09-22</t>
        </is>
      </c>
      <c r="W730" t="inlineStr">
        <is>
          <t>1996-07-30</t>
        </is>
      </c>
      <c r="X730" t="inlineStr">
        <is>
          <t>1996-07-30</t>
        </is>
      </c>
      <c r="Y730" t="n">
        <v>90</v>
      </c>
      <c r="Z730" t="n">
        <v>83</v>
      </c>
      <c r="AA730" t="n">
        <v>171</v>
      </c>
      <c r="AB730" t="n">
        <v>1</v>
      </c>
      <c r="AC730" t="n">
        <v>2</v>
      </c>
      <c r="AD730" t="n">
        <v>2</v>
      </c>
      <c r="AE730" t="n">
        <v>7</v>
      </c>
      <c r="AF730" t="n">
        <v>0</v>
      </c>
      <c r="AG730" t="n">
        <v>2</v>
      </c>
      <c r="AH730" t="n">
        <v>0</v>
      </c>
      <c r="AI730" t="n">
        <v>0</v>
      </c>
      <c r="AJ730" t="n">
        <v>2</v>
      </c>
      <c r="AK730" t="n">
        <v>4</v>
      </c>
      <c r="AL730" t="n">
        <v>0</v>
      </c>
      <c r="AM730" t="n">
        <v>1</v>
      </c>
      <c r="AN730" t="n">
        <v>0</v>
      </c>
      <c r="AO730" t="n">
        <v>0</v>
      </c>
      <c r="AP730" t="inlineStr">
        <is>
          <t>Yes</t>
        </is>
      </c>
      <c r="AQ730" t="inlineStr">
        <is>
          <t>No</t>
        </is>
      </c>
      <c r="AR730">
        <f>HYPERLINK("http://catalog.hathitrust.org/Record/005764437","HathiTrust Record")</f>
        <v/>
      </c>
      <c r="AS730">
        <f>HYPERLINK("https://creighton-primo.hosted.exlibrisgroup.com/primo-explore/search?tab=default_tab&amp;search_scope=EVERYTHING&amp;vid=01CRU&amp;lang=en_US&amp;offset=0&amp;query=any,contains,991001232679702656","Catalog Record")</f>
        <v/>
      </c>
      <c r="AT730">
        <f>HYPERLINK("http://www.worldcat.org/oclc/204113","WorldCat Record")</f>
        <v/>
      </c>
      <c r="AU730" t="inlineStr">
        <is>
          <t>1261528:eng</t>
        </is>
      </c>
      <c r="AV730" t="inlineStr">
        <is>
          <t>204113</t>
        </is>
      </c>
      <c r="AW730" t="inlineStr">
        <is>
          <t>991001232679702656</t>
        </is>
      </c>
      <c r="AX730" t="inlineStr">
        <is>
          <t>991001232679702656</t>
        </is>
      </c>
      <c r="AY730" t="inlineStr">
        <is>
          <t>2255510160002656</t>
        </is>
      </c>
      <c r="AZ730" t="inlineStr">
        <is>
          <t>BOOK</t>
        </is>
      </c>
      <c r="BC730" t="inlineStr">
        <is>
          <t>32285002250685</t>
        </is>
      </c>
      <c r="BD730" t="inlineStr">
        <is>
          <t>893407968</t>
        </is>
      </c>
    </row>
    <row r="731">
      <c r="A731" t="inlineStr">
        <is>
          <t>No</t>
        </is>
      </c>
      <c r="B731" t="inlineStr">
        <is>
          <t>BF637.A84 D68 1991</t>
        </is>
      </c>
      <c r="C731" t="inlineStr">
        <is>
          <t>0                      BF 0637000A  84                 D  68          1991</t>
        </is>
      </c>
      <c r="D731" t="inlineStr">
        <is>
          <t>Practical guide to using video in the behavioral sciences / Peter W. Dowrick.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Dowrick, Peter W.</t>
        </is>
      </c>
      <c r="L731" t="inlineStr">
        <is>
          <t>New York : Wiley, c1991.</t>
        </is>
      </c>
      <c r="M731" t="inlineStr">
        <is>
          <t>1991</t>
        </is>
      </c>
      <c r="O731" t="inlineStr">
        <is>
          <t>eng</t>
        </is>
      </c>
      <c r="P731" t="inlineStr">
        <is>
          <t>nyu</t>
        </is>
      </c>
      <c r="R731" t="inlineStr">
        <is>
          <t xml:space="preserve">BF </t>
        </is>
      </c>
      <c r="S731" t="n">
        <v>5</v>
      </c>
      <c r="T731" t="n">
        <v>5</v>
      </c>
      <c r="U731" t="inlineStr">
        <is>
          <t>2000-02-14</t>
        </is>
      </c>
      <c r="V731" t="inlineStr">
        <is>
          <t>2000-02-14</t>
        </is>
      </c>
      <c r="W731" t="inlineStr">
        <is>
          <t>1992-06-02</t>
        </is>
      </c>
      <c r="X731" t="inlineStr">
        <is>
          <t>1992-06-02</t>
        </is>
      </c>
      <c r="Y731" t="n">
        <v>246</v>
      </c>
      <c r="Z731" t="n">
        <v>167</v>
      </c>
      <c r="AA731" t="n">
        <v>169</v>
      </c>
      <c r="AB731" t="n">
        <v>3</v>
      </c>
      <c r="AC731" t="n">
        <v>3</v>
      </c>
      <c r="AD731" t="n">
        <v>10</v>
      </c>
      <c r="AE731" t="n">
        <v>10</v>
      </c>
      <c r="AF731" t="n">
        <v>3</v>
      </c>
      <c r="AG731" t="n">
        <v>3</v>
      </c>
      <c r="AH731" t="n">
        <v>4</v>
      </c>
      <c r="AI731" t="n">
        <v>4</v>
      </c>
      <c r="AJ731" t="n">
        <v>6</v>
      </c>
      <c r="AK731" t="n">
        <v>6</v>
      </c>
      <c r="AL731" t="n">
        <v>2</v>
      </c>
      <c r="AM731" t="n">
        <v>2</v>
      </c>
      <c r="AN731" t="n">
        <v>0</v>
      </c>
      <c r="AO731" t="n">
        <v>0</v>
      </c>
      <c r="AP731" t="inlineStr">
        <is>
          <t>No</t>
        </is>
      </c>
      <c r="AQ731" t="inlineStr">
        <is>
          <t>Yes</t>
        </is>
      </c>
      <c r="AR731">
        <f>HYPERLINK("http://catalog.hathitrust.org/Record/101930394","HathiTrust Record")</f>
        <v/>
      </c>
      <c r="AS731">
        <f>HYPERLINK("https://creighton-primo.hosted.exlibrisgroup.com/primo-explore/search?tab=default_tab&amp;search_scope=EVERYTHING&amp;vid=01CRU&amp;lang=en_US&amp;offset=0&amp;query=any,contains,991001799249702656","Catalog Record")</f>
        <v/>
      </c>
      <c r="AT731">
        <f>HYPERLINK("http://www.worldcat.org/oclc/22628953","WorldCat Record")</f>
        <v/>
      </c>
      <c r="AU731" t="inlineStr">
        <is>
          <t>24343947:eng</t>
        </is>
      </c>
      <c r="AV731" t="inlineStr">
        <is>
          <t>22628953</t>
        </is>
      </c>
      <c r="AW731" t="inlineStr">
        <is>
          <t>991001799249702656</t>
        </is>
      </c>
      <c r="AX731" t="inlineStr">
        <is>
          <t>991001799249702656</t>
        </is>
      </c>
      <c r="AY731" t="inlineStr">
        <is>
          <t>2269533020002656</t>
        </is>
      </c>
      <c r="AZ731" t="inlineStr">
        <is>
          <t>BOOK</t>
        </is>
      </c>
      <c r="BB731" t="inlineStr">
        <is>
          <t>9780471636137</t>
        </is>
      </c>
      <c r="BC731" t="inlineStr">
        <is>
          <t>32285001125680</t>
        </is>
      </c>
      <c r="BD731" t="inlineStr">
        <is>
          <t>893684663</t>
        </is>
      </c>
    </row>
    <row r="732">
      <c r="A732" t="inlineStr">
        <is>
          <t>No</t>
        </is>
      </c>
      <c r="B732" t="inlineStr">
        <is>
          <t>BF637.B4 B34 1974a</t>
        </is>
      </c>
      <c r="C732" t="inlineStr">
        <is>
          <t>0                      BF 0637000B  4                  B  34          1974a</t>
        </is>
      </c>
      <c r="D732" t="inlineStr">
        <is>
          <t>Behavior modification approaches to parenting : [papers] / edited by Eric J. Mash, Lee C. Handy, and Leo A. Hamerlynck.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Banff International Conference on Behavior Modification (6th : 1974)</t>
        </is>
      </c>
      <c r="L732" t="inlineStr">
        <is>
          <t>New York : Brunner/Mazel, c1976.</t>
        </is>
      </c>
      <c r="M732" t="inlineStr">
        <is>
          <t>1976</t>
        </is>
      </c>
      <c r="O732" t="inlineStr">
        <is>
          <t>eng</t>
        </is>
      </c>
      <c r="P732" t="inlineStr">
        <is>
          <t>nyu</t>
        </is>
      </c>
      <c r="R732" t="inlineStr">
        <is>
          <t xml:space="preserve">BF </t>
        </is>
      </c>
      <c r="S732" t="n">
        <v>3</v>
      </c>
      <c r="T732" t="n">
        <v>3</v>
      </c>
      <c r="U732" t="inlineStr">
        <is>
          <t>2002-11-29</t>
        </is>
      </c>
      <c r="V732" t="inlineStr">
        <is>
          <t>2002-11-29</t>
        </is>
      </c>
      <c r="W732" t="inlineStr">
        <is>
          <t>1996-07-30</t>
        </is>
      </c>
      <c r="X732" t="inlineStr">
        <is>
          <t>1996-07-30</t>
        </is>
      </c>
      <c r="Y732" t="n">
        <v>424</v>
      </c>
      <c r="Z732" t="n">
        <v>373</v>
      </c>
      <c r="AA732" t="n">
        <v>380</v>
      </c>
      <c r="AB732" t="n">
        <v>4</v>
      </c>
      <c r="AC732" t="n">
        <v>4</v>
      </c>
      <c r="AD732" t="n">
        <v>11</v>
      </c>
      <c r="AE732" t="n">
        <v>11</v>
      </c>
      <c r="AF732" t="n">
        <v>3</v>
      </c>
      <c r="AG732" t="n">
        <v>3</v>
      </c>
      <c r="AH732" t="n">
        <v>3</v>
      </c>
      <c r="AI732" t="n">
        <v>3</v>
      </c>
      <c r="AJ732" t="n">
        <v>6</v>
      </c>
      <c r="AK732" t="n">
        <v>6</v>
      </c>
      <c r="AL732" t="n">
        <v>2</v>
      </c>
      <c r="AM732" t="n">
        <v>2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HYPERLINK("http://catalog.hathitrust.org/Record/000698276","HathiTrust Record")</f>
        <v/>
      </c>
      <c r="AS732">
        <f>HYPERLINK("https://creighton-primo.hosted.exlibrisgroup.com/primo-explore/search?tab=default_tab&amp;search_scope=EVERYTHING&amp;vid=01CRU&amp;lang=en_US&amp;offset=0&amp;query=any,contains,991003918139702656","Catalog Record")</f>
        <v/>
      </c>
      <c r="AT732">
        <f>HYPERLINK("http://www.worldcat.org/oclc/1863588","WorldCat Record")</f>
        <v/>
      </c>
      <c r="AU732" t="inlineStr">
        <is>
          <t>364398584:eng</t>
        </is>
      </c>
      <c r="AV732" t="inlineStr">
        <is>
          <t>1863588</t>
        </is>
      </c>
      <c r="AW732" t="inlineStr">
        <is>
          <t>991003918139702656</t>
        </is>
      </c>
      <c r="AX732" t="inlineStr">
        <is>
          <t>991003918139702656</t>
        </is>
      </c>
      <c r="AY732" t="inlineStr">
        <is>
          <t>2263269580002656</t>
        </is>
      </c>
      <c r="AZ732" t="inlineStr">
        <is>
          <t>BOOK</t>
        </is>
      </c>
      <c r="BB732" t="inlineStr">
        <is>
          <t>9780876301197</t>
        </is>
      </c>
      <c r="BC732" t="inlineStr">
        <is>
          <t>32285002250735</t>
        </is>
      </c>
      <c r="BD732" t="inlineStr">
        <is>
          <t>893441951</t>
        </is>
      </c>
    </row>
    <row r="733">
      <c r="A733" t="inlineStr">
        <is>
          <t>No</t>
        </is>
      </c>
      <c r="B733" t="inlineStr">
        <is>
          <t>BF637.B4 B36</t>
        </is>
      </c>
      <c r="C733" t="inlineStr">
        <is>
          <t>0                      BF 0637000B  4                  B  36</t>
        </is>
      </c>
      <c r="D733" t="inlineStr">
        <is>
          <t>How your children can learn to live a rewarding life; behavior modification for parents and teachers [by] Alexander Bannatyne [and] Maryl Bannatyne.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Bannatyne, Alexander.</t>
        </is>
      </c>
      <c r="L733" t="inlineStr">
        <is>
          <t>Springfield, Ill., Thomas [1973]</t>
        </is>
      </c>
      <c r="M733" t="inlineStr">
        <is>
          <t>1973</t>
        </is>
      </c>
      <c r="O733" t="inlineStr">
        <is>
          <t>eng</t>
        </is>
      </c>
      <c r="P733" t="inlineStr">
        <is>
          <t>ilu</t>
        </is>
      </c>
      <c r="R733" t="inlineStr">
        <is>
          <t xml:space="preserve">BF </t>
        </is>
      </c>
      <c r="S733" t="n">
        <v>1</v>
      </c>
      <c r="T733" t="n">
        <v>1</v>
      </c>
      <c r="U733" t="inlineStr">
        <is>
          <t>2002-11-29</t>
        </is>
      </c>
      <c r="V733" t="inlineStr">
        <is>
          <t>2002-11-29</t>
        </is>
      </c>
      <c r="W733" t="inlineStr">
        <is>
          <t>1996-07-30</t>
        </is>
      </c>
      <c r="X733" t="inlineStr">
        <is>
          <t>1996-07-30</t>
        </is>
      </c>
      <c r="Y733" t="n">
        <v>273</v>
      </c>
      <c r="Z733" t="n">
        <v>241</v>
      </c>
      <c r="AA733" t="n">
        <v>247</v>
      </c>
      <c r="AB733" t="n">
        <v>3</v>
      </c>
      <c r="AC733" t="n">
        <v>3</v>
      </c>
      <c r="AD733" t="n">
        <v>6</v>
      </c>
      <c r="AE733" t="n">
        <v>6</v>
      </c>
      <c r="AF733" t="n">
        <v>0</v>
      </c>
      <c r="AG733" t="n">
        <v>0</v>
      </c>
      <c r="AH733" t="n">
        <v>3</v>
      </c>
      <c r="AI733" t="n">
        <v>3</v>
      </c>
      <c r="AJ733" t="n">
        <v>3</v>
      </c>
      <c r="AK733" t="n">
        <v>3</v>
      </c>
      <c r="AL733" t="n">
        <v>2</v>
      </c>
      <c r="AM733" t="n">
        <v>2</v>
      </c>
      <c r="AN733" t="n">
        <v>0</v>
      </c>
      <c r="AO733" t="n">
        <v>0</v>
      </c>
      <c r="AP733" t="inlineStr">
        <is>
          <t>No</t>
        </is>
      </c>
      <c r="AQ733" t="inlineStr">
        <is>
          <t>Yes</t>
        </is>
      </c>
      <c r="AR733">
        <f>HYPERLINK("http://catalog.hathitrust.org/Record/007417772","HathiTrust Record")</f>
        <v/>
      </c>
      <c r="AS733">
        <f>HYPERLINK("https://creighton-primo.hosted.exlibrisgroup.com/primo-explore/search?tab=default_tab&amp;search_scope=EVERYTHING&amp;vid=01CRU&amp;lang=en_US&amp;offset=0&amp;query=any,contains,991003164489702656","Catalog Record")</f>
        <v/>
      </c>
      <c r="AT733">
        <f>HYPERLINK("http://www.worldcat.org/oclc/702828","WorldCat Record")</f>
        <v/>
      </c>
      <c r="AU733" t="inlineStr">
        <is>
          <t>497714412:eng</t>
        </is>
      </c>
      <c r="AV733" t="inlineStr">
        <is>
          <t>702828</t>
        </is>
      </c>
      <c r="AW733" t="inlineStr">
        <is>
          <t>991003164489702656</t>
        </is>
      </c>
      <c r="AX733" t="inlineStr">
        <is>
          <t>991003164489702656</t>
        </is>
      </c>
      <c r="AY733" t="inlineStr">
        <is>
          <t>2258188090002656</t>
        </is>
      </c>
      <c r="AZ733" t="inlineStr">
        <is>
          <t>BOOK</t>
        </is>
      </c>
      <c r="BB733" t="inlineStr">
        <is>
          <t>9780398025724</t>
        </is>
      </c>
      <c r="BC733" t="inlineStr">
        <is>
          <t>32285002250743</t>
        </is>
      </c>
      <c r="BD733" t="inlineStr">
        <is>
          <t>893686249</t>
        </is>
      </c>
    </row>
    <row r="734">
      <c r="A734" t="inlineStr">
        <is>
          <t>No</t>
        </is>
      </c>
      <c r="B734" t="inlineStr">
        <is>
          <t>BF637.B4 B47</t>
        </is>
      </c>
      <c r="C734" t="inlineStr">
        <is>
          <t>0                      BF 0637000B  4                  B  47</t>
        </is>
      </c>
      <c r="D734" t="inlineStr">
        <is>
          <t>Behavior modification : an introductory textbook / Alan S. Bellack, Michel Hersen.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Bellack, Alan S.</t>
        </is>
      </c>
      <c r="L734" t="inlineStr">
        <is>
          <t>Baltimore : Williams &amp; Wilkins, c1977.</t>
        </is>
      </c>
      <c r="M734" t="inlineStr">
        <is>
          <t>1977</t>
        </is>
      </c>
      <c r="O734" t="inlineStr">
        <is>
          <t>eng</t>
        </is>
      </c>
      <c r="P734" t="inlineStr">
        <is>
          <t>mdu</t>
        </is>
      </c>
      <c r="R734" t="inlineStr">
        <is>
          <t xml:space="preserve">BF </t>
        </is>
      </c>
      <c r="S734" t="n">
        <v>3</v>
      </c>
      <c r="T734" t="n">
        <v>3</v>
      </c>
      <c r="U734" t="inlineStr">
        <is>
          <t>1996-11-03</t>
        </is>
      </c>
      <c r="V734" t="inlineStr">
        <is>
          <t>1996-11-03</t>
        </is>
      </c>
      <c r="W734" t="inlineStr">
        <is>
          <t>1996-07-30</t>
        </is>
      </c>
      <c r="X734" t="inlineStr">
        <is>
          <t>1996-07-30</t>
        </is>
      </c>
      <c r="Y734" t="n">
        <v>262</v>
      </c>
      <c r="Z734" t="n">
        <v>206</v>
      </c>
      <c r="AA734" t="n">
        <v>266</v>
      </c>
      <c r="AB734" t="n">
        <v>4</v>
      </c>
      <c r="AC734" t="n">
        <v>4</v>
      </c>
      <c r="AD734" t="n">
        <v>8</v>
      </c>
      <c r="AE734" t="n">
        <v>9</v>
      </c>
      <c r="AF734" t="n">
        <v>1</v>
      </c>
      <c r="AG734" t="n">
        <v>2</v>
      </c>
      <c r="AH734" t="n">
        <v>1</v>
      </c>
      <c r="AI734" t="n">
        <v>1</v>
      </c>
      <c r="AJ734" t="n">
        <v>4</v>
      </c>
      <c r="AK734" t="n">
        <v>5</v>
      </c>
      <c r="AL734" t="n">
        <v>3</v>
      </c>
      <c r="AM734" t="n">
        <v>3</v>
      </c>
      <c r="AN734" t="n">
        <v>0</v>
      </c>
      <c r="AO734" t="n">
        <v>0</v>
      </c>
      <c r="AP734" t="inlineStr">
        <is>
          <t>No</t>
        </is>
      </c>
      <c r="AQ734" t="inlineStr">
        <is>
          <t>No</t>
        </is>
      </c>
      <c r="AS734">
        <f>HYPERLINK("https://creighton-primo.hosted.exlibrisgroup.com/primo-explore/search?tab=default_tab&amp;search_scope=EVERYTHING&amp;vid=01CRU&amp;lang=en_US&amp;offset=0&amp;query=any,contains,991005265539702656","Catalog Record")</f>
        <v/>
      </c>
      <c r="AT734">
        <f>HYPERLINK("http://www.worldcat.org/oclc/2632596","WorldCat Record")</f>
        <v/>
      </c>
      <c r="AU734" t="inlineStr">
        <is>
          <t>5784328:eng</t>
        </is>
      </c>
      <c r="AV734" t="inlineStr">
        <is>
          <t>2632596</t>
        </is>
      </c>
      <c r="AW734" t="inlineStr">
        <is>
          <t>991005265539702656</t>
        </is>
      </c>
      <c r="AX734" t="inlineStr">
        <is>
          <t>991005265539702656</t>
        </is>
      </c>
      <c r="AY734" t="inlineStr">
        <is>
          <t>2271652180002656</t>
        </is>
      </c>
      <c r="AZ734" t="inlineStr">
        <is>
          <t>BOOK</t>
        </is>
      </c>
      <c r="BB734" t="inlineStr">
        <is>
          <t>9780683005134</t>
        </is>
      </c>
      <c r="BC734" t="inlineStr">
        <is>
          <t>32285002250768</t>
        </is>
      </c>
      <c r="BD734" t="inlineStr">
        <is>
          <t>893242461</t>
        </is>
      </c>
    </row>
    <row r="735">
      <c r="A735" t="inlineStr">
        <is>
          <t>No</t>
        </is>
      </c>
      <c r="B735" t="inlineStr">
        <is>
          <t>BF637.B4 B66</t>
        </is>
      </c>
      <c r="C735" t="inlineStr">
        <is>
          <t>0                      BF 0637000B  4                  B  66</t>
        </is>
      </c>
      <c r="D735" t="inlineStr">
        <is>
          <t>Behavior modification and therapy : an introduction / Richard R. Bootzin.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Bootzin, Richard R., 1940-</t>
        </is>
      </c>
      <c r="L735" t="inlineStr">
        <is>
          <t>Cambridge, Mass. : Winthrop Publishers, [1975]</t>
        </is>
      </c>
      <c r="M735" t="inlineStr">
        <is>
          <t>1975</t>
        </is>
      </c>
      <c r="O735" t="inlineStr">
        <is>
          <t>eng</t>
        </is>
      </c>
      <c r="P735" t="inlineStr">
        <is>
          <t>mau</t>
        </is>
      </c>
      <c r="R735" t="inlineStr">
        <is>
          <t xml:space="preserve">BF </t>
        </is>
      </c>
      <c r="S735" t="n">
        <v>5</v>
      </c>
      <c r="T735" t="n">
        <v>5</v>
      </c>
      <c r="U735" t="inlineStr">
        <is>
          <t>1999-03-10</t>
        </is>
      </c>
      <c r="V735" t="inlineStr">
        <is>
          <t>1999-03-10</t>
        </is>
      </c>
      <c r="W735" t="inlineStr">
        <is>
          <t>1992-04-01</t>
        </is>
      </c>
      <c r="X735" t="inlineStr">
        <is>
          <t>1992-04-01</t>
        </is>
      </c>
      <c r="Y735" t="n">
        <v>412</v>
      </c>
      <c r="Z735" t="n">
        <v>347</v>
      </c>
      <c r="AA735" t="n">
        <v>354</v>
      </c>
      <c r="AB735" t="n">
        <v>5</v>
      </c>
      <c r="AC735" t="n">
        <v>5</v>
      </c>
      <c r="AD735" t="n">
        <v>17</v>
      </c>
      <c r="AE735" t="n">
        <v>17</v>
      </c>
      <c r="AF735" t="n">
        <v>3</v>
      </c>
      <c r="AG735" t="n">
        <v>3</v>
      </c>
      <c r="AH735" t="n">
        <v>5</v>
      </c>
      <c r="AI735" t="n">
        <v>5</v>
      </c>
      <c r="AJ735" t="n">
        <v>10</v>
      </c>
      <c r="AK735" t="n">
        <v>10</v>
      </c>
      <c r="AL735" t="n">
        <v>3</v>
      </c>
      <c r="AM735" t="n">
        <v>3</v>
      </c>
      <c r="AN735" t="n">
        <v>0</v>
      </c>
      <c r="AO735" t="n">
        <v>0</v>
      </c>
      <c r="AP735" t="inlineStr">
        <is>
          <t>No</t>
        </is>
      </c>
      <c r="AQ735" t="inlineStr">
        <is>
          <t>Yes</t>
        </is>
      </c>
      <c r="AR735">
        <f>HYPERLINK("http://catalog.hathitrust.org/Record/000044784","HathiTrust Record")</f>
        <v/>
      </c>
      <c r="AS735">
        <f>HYPERLINK("https://creighton-primo.hosted.exlibrisgroup.com/primo-explore/search?tab=default_tab&amp;search_scope=EVERYTHING&amp;vid=01CRU&amp;lang=en_US&amp;offset=0&amp;query=any,contains,991003801089702656","Catalog Record")</f>
        <v/>
      </c>
      <c r="AT735">
        <f>HYPERLINK("http://www.worldcat.org/oclc/1527485","WorldCat Record")</f>
        <v/>
      </c>
      <c r="AU735" t="inlineStr">
        <is>
          <t>180485930:eng</t>
        </is>
      </c>
      <c r="AV735" t="inlineStr">
        <is>
          <t>1527485</t>
        </is>
      </c>
      <c r="AW735" t="inlineStr">
        <is>
          <t>991003801089702656</t>
        </is>
      </c>
      <c r="AX735" t="inlineStr">
        <is>
          <t>991003801089702656</t>
        </is>
      </c>
      <c r="AY735" t="inlineStr">
        <is>
          <t>2257970430002656</t>
        </is>
      </c>
      <c r="AZ735" t="inlineStr">
        <is>
          <t>BOOK</t>
        </is>
      </c>
      <c r="BB735" t="inlineStr">
        <is>
          <t>9780876260630</t>
        </is>
      </c>
      <c r="BC735" t="inlineStr">
        <is>
          <t>32285001050482</t>
        </is>
      </c>
      <c r="BD735" t="inlineStr">
        <is>
          <t>893705644</t>
        </is>
      </c>
    </row>
    <row r="736">
      <c r="A736" t="inlineStr">
        <is>
          <t>No</t>
        </is>
      </c>
      <c r="B736" t="inlineStr">
        <is>
          <t>BF637.B4 D4 1977</t>
        </is>
      </c>
      <c r="C736" t="inlineStr">
        <is>
          <t>0                      BF 0637000B  4                  D  4           1977</t>
        </is>
      </c>
      <c r="D736" t="inlineStr">
        <is>
          <t>New tools for changing behavior / [by] Alvin N. Deibert [and] Alice J. Harmon. Foreword by Nathan H. Azrin.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Deibert, Alvin N.</t>
        </is>
      </c>
      <c r="L736" t="inlineStr">
        <is>
          <t>Champaign, Ill. : Research Press Co., [1977, c1973]</t>
        </is>
      </c>
      <c r="M736" t="inlineStr">
        <is>
          <t>1977</t>
        </is>
      </c>
      <c r="N736" t="inlineStr">
        <is>
          <t>Rev.</t>
        </is>
      </c>
      <c r="O736" t="inlineStr">
        <is>
          <t>eng</t>
        </is>
      </c>
      <c r="P736" t="inlineStr">
        <is>
          <t>ilu</t>
        </is>
      </c>
      <c r="R736" t="inlineStr">
        <is>
          <t xml:space="preserve">BF </t>
        </is>
      </c>
      <c r="S736" t="n">
        <v>2</v>
      </c>
      <c r="T736" t="n">
        <v>2</v>
      </c>
      <c r="U736" t="inlineStr">
        <is>
          <t>1995-06-26</t>
        </is>
      </c>
      <c r="V736" t="inlineStr">
        <is>
          <t>1995-06-26</t>
        </is>
      </c>
      <c r="W736" t="inlineStr">
        <is>
          <t>1993-04-01</t>
        </is>
      </c>
      <c r="X736" t="inlineStr">
        <is>
          <t>1993-04-01</t>
        </is>
      </c>
      <c r="Y736" t="n">
        <v>23</v>
      </c>
      <c r="Z736" t="n">
        <v>21</v>
      </c>
      <c r="AA736" t="n">
        <v>456</v>
      </c>
      <c r="AB736" t="n">
        <v>1</v>
      </c>
      <c r="AC736" t="n">
        <v>5</v>
      </c>
      <c r="AD736" t="n">
        <v>0</v>
      </c>
      <c r="AE736" t="n">
        <v>15</v>
      </c>
      <c r="AF736" t="n">
        <v>0</v>
      </c>
      <c r="AG736" t="n">
        <v>8</v>
      </c>
      <c r="AH736" t="n">
        <v>0</v>
      </c>
      <c r="AI736" t="n">
        <v>3</v>
      </c>
      <c r="AJ736" t="n">
        <v>0</v>
      </c>
      <c r="AK736" t="n">
        <v>5</v>
      </c>
      <c r="AL736" t="n">
        <v>0</v>
      </c>
      <c r="AM736" t="n">
        <v>4</v>
      </c>
      <c r="AN736" t="n">
        <v>0</v>
      </c>
      <c r="AO736" t="n">
        <v>0</v>
      </c>
      <c r="AP736" t="inlineStr">
        <is>
          <t>No</t>
        </is>
      </c>
      <c r="AQ736" t="inlineStr">
        <is>
          <t>No</t>
        </is>
      </c>
      <c r="AS736">
        <f>HYPERLINK("https://creighton-primo.hosted.exlibrisgroup.com/primo-explore/search?tab=default_tab&amp;search_scope=EVERYTHING&amp;vid=01CRU&amp;lang=en_US&amp;offset=0&amp;query=any,contains,991004522949702656","Catalog Record")</f>
        <v/>
      </c>
      <c r="AT736">
        <f>HYPERLINK("http://www.worldcat.org/oclc/3830331","WorldCat Record")</f>
        <v/>
      </c>
      <c r="AU736" t="inlineStr">
        <is>
          <t>1293929:eng</t>
        </is>
      </c>
      <c r="AV736" t="inlineStr">
        <is>
          <t>3830331</t>
        </is>
      </c>
      <c r="AW736" t="inlineStr">
        <is>
          <t>991004522949702656</t>
        </is>
      </c>
      <c r="AX736" t="inlineStr">
        <is>
          <t>991004522949702656</t>
        </is>
      </c>
      <c r="AY736" t="inlineStr">
        <is>
          <t>2271333750002656</t>
        </is>
      </c>
      <c r="AZ736" t="inlineStr">
        <is>
          <t>BOOK</t>
        </is>
      </c>
      <c r="BC736" t="inlineStr">
        <is>
          <t>32285001597904</t>
        </is>
      </c>
      <c r="BD736" t="inlineStr">
        <is>
          <t>893325470</t>
        </is>
      </c>
    </row>
    <row r="737">
      <c r="A737" t="inlineStr">
        <is>
          <t>No</t>
        </is>
      </c>
      <c r="B737" t="inlineStr">
        <is>
          <t>BF637.B4 F67</t>
        </is>
      </c>
      <c r="C737" t="inlineStr">
        <is>
          <t>0                      BF 0637000B  4                  F  67</t>
        </is>
      </c>
      <c r="D737" t="inlineStr">
        <is>
          <t>Developing self-control / Carol Foster.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Foster, Carol.</t>
        </is>
      </c>
      <c r="L737" t="inlineStr">
        <is>
          <t>Kalamazoo, Mich. : Behaviordelia, [1974]</t>
        </is>
      </c>
      <c r="M737" t="inlineStr">
        <is>
          <t>1974</t>
        </is>
      </c>
      <c r="O737" t="inlineStr">
        <is>
          <t>eng</t>
        </is>
      </c>
      <c r="P737" t="inlineStr">
        <is>
          <t>miu</t>
        </is>
      </c>
      <c r="R737" t="inlineStr">
        <is>
          <t xml:space="preserve">BF </t>
        </is>
      </c>
      <c r="S737" t="n">
        <v>3</v>
      </c>
      <c r="T737" t="n">
        <v>3</v>
      </c>
      <c r="U737" t="inlineStr">
        <is>
          <t>2001-05-04</t>
        </is>
      </c>
      <c r="V737" t="inlineStr">
        <is>
          <t>2001-05-04</t>
        </is>
      </c>
      <c r="W737" t="inlineStr">
        <is>
          <t>1996-04-24</t>
        </is>
      </c>
      <c r="X737" t="inlineStr">
        <is>
          <t>1996-04-24</t>
        </is>
      </c>
      <c r="Y737" t="n">
        <v>169</v>
      </c>
      <c r="Z737" t="n">
        <v>159</v>
      </c>
      <c r="AA737" t="n">
        <v>180</v>
      </c>
      <c r="AB737" t="n">
        <v>4</v>
      </c>
      <c r="AC737" t="n">
        <v>4</v>
      </c>
      <c r="AD737" t="n">
        <v>13</v>
      </c>
      <c r="AE737" t="n">
        <v>14</v>
      </c>
      <c r="AF737" t="n">
        <v>4</v>
      </c>
      <c r="AG737" t="n">
        <v>5</v>
      </c>
      <c r="AH737" t="n">
        <v>4</v>
      </c>
      <c r="AI737" t="n">
        <v>4</v>
      </c>
      <c r="AJ737" t="n">
        <v>5</v>
      </c>
      <c r="AK737" t="n">
        <v>5</v>
      </c>
      <c r="AL737" t="n">
        <v>3</v>
      </c>
      <c r="AM737" t="n">
        <v>3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HYPERLINK("https://creighton-primo.hosted.exlibrisgroup.com/primo-explore/search?tab=default_tab&amp;search_scope=EVERYTHING&amp;vid=01CRU&amp;lang=en_US&amp;offset=0&amp;query=any,contains,991003600369702656","Catalog Record")</f>
        <v/>
      </c>
      <c r="AT737">
        <f>HYPERLINK("http://www.worldcat.org/oclc/1177592","WorldCat Record")</f>
        <v/>
      </c>
      <c r="AU737" t="inlineStr">
        <is>
          <t>308786767:eng</t>
        </is>
      </c>
      <c r="AV737" t="inlineStr">
        <is>
          <t>1177592</t>
        </is>
      </c>
      <c r="AW737" t="inlineStr">
        <is>
          <t>991003600369702656</t>
        </is>
      </c>
      <c r="AX737" t="inlineStr">
        <is>
          <t>991003600369702656</t>
        </is>
      </c>
      <c r="AY737" t="inlineStr">
        <is>
          <t>2264592530002656</t>
        </is>
      </c>
      <c r="AZ737" t="inlineStr">
        <is>
          <t>BOOK</t>
        </is>
      </c>
      <c r="BB737" t="inlineStr">
        <is>
          <t>9780914474128</t>
        </is>
      </c>
      <c r="BC737" t="inlineStr">
        <is>
          <t>32285002160082</t>
        </is>
      </c>
      <c r="BD737" t="inlineStr">
        <is>
          <t>893318163</t>
        </is>
      </c>
    </row>
    <row r="738">
      <c r="A738" t="inlineStr">
        <is>
          <t>No</t>
        </is>
      </c>
      <c r="B738" t="inlineStr">
        <is>
          <t>BF637.B4 H45 1986</t>
        </is>
      </c>
      <c r="C738" t="inlineStr">
        <is>
          <t>0                      BF 0637000B  4                  H  45          1986</t>
        </is>
      </c>
      <c r="D738" t="inlineStr">
        <is>
          <t>Helping people change : a textbook of methods / edited by Frederick H. Kanfer, Arnold P. Goldstein.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L738" t="inlineStr">
        <is>
          <t>New York : Pergamon Press, c1986.</t>
        </is>
      </c>
      <c r="M738" t="inlineStr">
        <is>
          <t>1986</t>
        </is>
      </c>
      <c r="N738" t="inlineStr">
        <is>
          <t>3rd ed.</t>
        </is>
      </c>
      <c r="O738" t="inlineStr">
        <is>
          <t>eng</t>
        </is>
      </c>
      <c r="P738" t="inlineStr">
        <is>
          <t>nyu</t>
        </is>
      </c>
      <c r="Q738" t="inlineStr">
        <is>
          <t>Pergamon general psychology series ; 52</t>
        </is>
      </c>
      <c r="R738" t="inlineStr">
        <is>
          <t xml:space="preserve">BF </t>
        </is>
      </c>
      <c r="S738" t="n">
        <v>7</v>
      </c>
      <c r="T738" t="n">
        <v>7</v>
      </c>
      <c r="U738" t="inlineStr">
        <is>
          <t>2002-05-02</t>
        </is>
      </c>
      <c r="V738" t="inlineStr">
        <is>
          <t>2002-05-02</t>
        </is>
      </c>
      <c r="W738" t="inlineStr">
        <is>
          <t>1990-06-28</t>
        </is>
      </c>
      <c r="X738" t="inlineStr">
        <is>
          <t>1990-06-28</t>
        </is>
      </c>
      <c r="Y738" t="n">
        <v>486</v>
      </c>
      <c r="Z738" t="n">
        <v>369</v>
      </c>
      <c r="AA738" t="n">
        <v>892</v>
      </c>
      <c r="AB738" t="n">
        <v>3</v>
      </c>
      <c r="AC738" t="n">
        <v>9</v>
      </c>
      <c r="AD738" t="n">
        <v>18</v>
      </c>
      <c r="AE738" t="n">
        <v>39</v>
      </c>
      <c r="AF738" t="n">
        <v>7</v>
      </c>
      <c r="AG738" t="n">
        <v>13</v>
      </c>
      <c r="AH738" t="n">
        <v>4</v>
      </c>
      <c r="AI738" t="n">
        <v>10</v>
      </c>
      <c r="AJ738" t="n">
        <v>10</v>
      </c>
      <c r="AK738" t="n">
        <v>20</v>
      </c>
      <c r="AL738" t="n">
        <v>2</v>
      </c>
      <c r="AM738" t="n">
        <v>6</v>
      </c>
      <c r="AN738" t="n">
        <v>0</v>
      </c>
      <c r="AO738" t="n">
        <v>0</v>
      </c>
      <c r="AP738" t="inlineStr">
        <is>
          <t>No</t>
        </is>
      </c>
      <c r="AQ738" t="inlineStr">
        <is>
          <t>Yes</t>
        </is>
      </c>
      <c r="AR738">
        <f>HYPERLINK("http://catalog.hathitrust.org/Record/000477434","HathiTrust Record")</f>
        <v/>
      </c>
      <c r="AS738">
        <f>HYPERLINK("https://creighton-primo.hosted.exlibrisgroup.com/primo-explore/search?tab=default_tab&amp;search_scope=EVERYTHING&amp;vid=01CRU&amp;lang=en_US&amp;offset=0&amp;query=any,contains,991000601449702656","Catalog Record")</f>
        <v/>
      </c>
      <c r="AT738">
        <f>HYPERLINK("http://www.worldcat.org/oclc/11841560","WorldCat Record")</f>
        <v/>
      </c>
      <c r="AU738" t="inlineStr">
        <is>
          <t>796519390:eng</t>
        </is>
      </c>
      <c r="AV738" t="inlineStr">
        <is>
          <t>11841560</t>
        </is>
      </c>
      <c r="AW738" t="inlineStr">
        <is>
          <t>991000601449702656</t>
        </is>
      </c>
      <c r="AX738" t="inlineStr">
        <is>
          <t>991000601449702656</t>
        </is>
      </c>
      <c r="AY738" t="inlineStr">
        <is>
          <t>2266237270002656</t>
        </is>
      </c>
      <c r="AZ738" t="inlineStr">
        <is>
          <t>BOOK</t>
        </is>
      </c>
      <c r="BB738" t="inlineStr">
        <is>
          <t>9780080316000</t>
        </is>
      </c>
      <c r="BC738" t="inlineStr">
        <is>
          <t>32285000216977</t>
        </is>
      </c>
      <c r="BD738" t="inlineStr">
        <is>
          <t>893413508</t>
        </is>
      </c>
    </row>
    <row r="739">
      <c r="A739" t="inlineStr">
        <is>
          <t>No</t>
        </is>
      </c>
      <c r="B739" t="inlineStr">
        <is>
          <t>BF637.B4 K42</t>
        </is>
      </c>
      <c r="C739" t="inlineStr">
        <is>
          <t>0                      BF 0637000B  4                  K  42</t>
        </is>
      </c>
      <c r="D739" t="inlineStr">
        <is>
          <t>History of behavior modification : experimental foundations of contemporary research/ by Alan E. Kazdin.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Kazdin, Alan E.</t>
        </is>
      </c>
      <c r="L739" t="inlineStr">
        <is>
          <t>Baltimore : University Park Press, c1978.</t>
        </is>
      </c>
      <c r="M739" t="inlineStr">
        <is>
          <t>1978</t>
        </is>
      </c>
      <c r="O739" t="inlineStr">
        <is>
          <t>eng</t>
        </is>
      </c>
      <c r="P739" t="inlineStr">
        <is>
          <t>mdu</t>
        </is>
      </c>
      <c r="R739" t="inlineStr">
        <is>
          <t xml:space="preserve">BF </t>
        </is>
      </c>
      <c r="S739" t="n">
        <v>1</v>
      </c>
      <c r="T739" t="n">
        <v>1</v>
      </c>
      <c r="U739" t="inlineStr">
        <is>
          <t>2001-10-25</t>
        </is>
      </c>
      <c r="V739" t="inlineStr">
        <is>
          <t>2001-10-25</t>
        </is>
      </c>
      <c r="W739" t="inlineStr">
        <is>
          <t>1996-07-30</t>
        </is>
      </c>
      <c r="X739" t="inlineStr">
        <is>
          <t>1996-07-30</t>
        </is>
      </c>
      <c r="Y739" t="n">
        <v>740</v>
      </c>
      <c r="Z739" t="n">
        <v>609</v>
      </c>
      <c r="AA739" t="n">
        <v>617</v>
      </c>
      <c r="AB739" t="n">
        <v>5</v>
      </c>
      <c r="AC739" t="n">
        <v>5</v>
      </c>
      <c r="AD739" t="n">
        <v>28</v>
      </c>
      <c r="AE739" t="n">
        <v>28</v>
      </c>
      <c r="AF739" t="n">
        <v>13</v>
      </c>
      <c r="AG739" t="n">
        <v>13</v>
      </c>
      <c r="AH739" t="n">
        <v>5</v>
      </c>
      <c r="AI739" t="n">
        <v>5</v>
      </c>
      <c r="AJ739" t="n">
        <v>15</v>
      </c>
      <c r="AK739" t="n">
        <v>15</v>
      </c>
      <c r="AL739" t="n">
        <v>4</v>
      </c>
      <c r="AM739" t="n">
        <v>4</v>
      </c>
      <c r="AN739" t="n">
        <v>0</v>
      </c>
      <c r="AO739" t="n">
        <v>0</v>
      </c>
      <c r="AP739" t="inlineStr">
        <is>
          <t>No</t>
        </is>
      </c>
      <c r="AQ739" t="inlineStr">
        <is>
          <t>Yes</t>
        </is>
      </c>
      <c r="AR739">
        <f>HYPERLINK("http://catalog.hathitrust.org/Record/000687270","HathiTrust Record")</f>
        <v/>
      </c>
      <c r="AS739">
        <f>HYPERLINK("https://creighton-primo.hosted.exlibrisgroup.com/primo-explore/search?tab=default_tab&amp;search_scope=EVERYTHING&amp;vid=01CRU&amp;lang=en_US&amp;offset=0&amp;query=any,contains,991004445759702656","Catalog Record")</f>
        <v/>
      </c>
      <c r="AT739">
        <f>HYPERLINK("http://www.worldcat.org/oclc/3481427","WorldCat Record")</f>
        <v/>
      </c>
      <c r="AU739" t="inlineStr">
        <is>
          <t>10542834:eng</t>
        </is>
      </c>
      <c r="AV739" t="inlineStr">
        <is>
          <t>3481427</t>
        </is>
      </c>
      <c r="AW739" t="inlineStr">
        <is>
          <t>991004445759702656</t>
        </is>
      </c>
      <c r="AX739" t="inlineStr">
        <is>
          <t>991004445759702656</t>
        </is>
      </c>
      <c r="AY739" t="inlineStr">
        <is>
          <t>2264441880002656</t>
        </is>
      </c>
      <c r="AZ739" t="inlineStr">
        <is>
          <t>BOOK</t>
        </is>
      </c>
      <c r="BB739" t="inlineStr">
        <is>
          <t>9780839112051</t>
        </is>
      </c>
      <c r="BC739" t="inlineStr">
        <is>
          <t>32285002250883</t>
        </is>
      </c>
      <c r="BD739" t="inlineStr">
        <is>
          <t>893869724</t>
        </is>
      </c>
    </row>
    <row r="740">
      <c r="A740" t="inlineStr">
        <is>
          <t>No</t>
        </is>
      </c>
      <c r="B740" t="inlineStr">
        <is>
          <t>BF637.B4 M43</t>
        </is>
      </c>
      <c r="C740" t="inlineStr">
        <is>
          <t>0                      BF 0637000B  4                  M  43</t>
        </is>
      </c>
      <c r="D740" t="inlineStr">
        <is>
          <t>Cognitive-behavior modification : an integrative approach / by Donald Meichenbaum.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Yes</t>
        </is>
      </c>
      <c r="J740" t="inlineStr">
        <is>
          <t>0</t>
        </is>
      </c>
      <c r="K740" t="inlineStr">
        <is>
          <t>Meichenbaum, Donald.</t>
        </is>
      </c>
      <c r="L740" t="inlineStr">
        <is>
          <t>New York : Plenum Press, c1977.</t>
        </is>
      </c>
      <c r="M740" t="inlineStr">
        <is>
          <t>1977</t>
        </is>
      </c>
      <c r="O740" t="inlineStr">
        <is>
          <t>eng</t>
        </is>
      </c>
      <c r="P740" t="inlineStr">
        <is>
          <t>nyu</t>
        </is>
      </c>
      <c r="Q740" t="inlineStr">
        <is>
          <t>Plenum behavior therapy series</t>
        </is>
      </c>
      <c r="R740" t="inlineStr">
        <is>
          <t xml:space="preserve">BF </t>
        </is>
      </c>
      <c r="S740" t="n">
        <v>2</v>
      </c>
      <c r="T740" t="n">
        <v>2</v>
      </c>
      <c r="U740" t="inlineStr">
        <is>
          <t>2008-04-04</t>
        </is>
      </c>
      <c r="V740" t="inlineStr">
        <is>
          <t>2008-04-04</t>
        </is>
      </c>
      <c r="W740" t="inlineStr">
        <is>
          <t>1996-07-30</t>
        </is>
      </c>
      <c r="X740" t="inlineStr">
        <is>
          <t>1996-07-30</t>
        </is>
      </c>
      <c r="Y740" t="n">
        <v>956</v>
      </c>
      <c r="Z740" t="n">
        <v>746</v>
      </c>
      <c r="AA740" t="n">
        <v>787</v>
      </c>
      <c r="AB740" t="n">
        <v>5</v>
      </c>
      <c r="AC740" t="n">
        <v>5</v>
      </c>
      <c r="AD740" t="n">
        <v>35</v>
      </c>
      <c r="AE740" t="n">
        <v>38</v>
      </c>
      <c r="AF740" t="n">
        <v>18</v>
      </c>
      <c r="AG740" t="n">
        <v>21</v>
      </c>
      <c r="AH740" t="n">
        <v>6</v>
      </c>
      <c r="AI740" t="n">
        <v>7</v>
      </c>
      <c r="AJ740" t="n">
        <v>16</v>
      </c>
      <c r="AK740" t="n">
        <v>17</v>
      </c>
      <c r="AL740" t="n">
        <v>3</v>
      </c>
      <c r="AM740" t="n">
        <v>3</v>
      </c>
      <c r="AN740" t="n">
        <v>0</v>
      </c>
      <c r="AO740" t="n">
        <v>0</v>
      </c>
      <c r="AP740" t="inlineStr">
        <is>
          <t>No</t>
        </is>
      </c>
      <c r="AQ740" t="inlineStr">
        <is>
          <t>No</t>
        </is>
      </c>
      <c r="AS740">
        <f>HYPERLINK("https://creighton-primo.hosted.exlibrisgroup.com/primo-explore/search?tab=default_tab&amp;search_scope=EVERYTHING&amp;vid=01CRU&amp;lang=en_US&amp;offset=0&amp;query=any,contains,991004275659702656","Catalog Record")</f>
        <v/>
      </c>
      <c r="AT740">
        <f>HYPERLINK("http://www.worldcat.org/oclc/2894019","WorldCat Record")</f>
        <v/>
      </c>
      <c r="AU740" t="inlineStr">
        <is>
          <t>796465088:eng</t>
        </is>
      </c>
      <c r="AV740" t="inlineStr">
        <is>
          <t>2894019</t>
        </is>
      </c>
      <c r="AW740" t="inlineStr">
        <is>
          <t>991004275659702656</t>
        </is>
      </c>
      <c r="AX740" t="inlineStr">
        <is>
          <t>991004275659702656</t>
        </is>
      </c>
      <c r="AY740" t="inlineStr">
        <is>
          <t>2269555980002656</t>
        </is>
      </c>
      <c r="AZ740" t="inlineStr">
        <is>
          <t>BOOK</t>
        </is>
      </c>
      <c r="BB740" t="inlineStr">
        <is>
          <t>9780306310133</t>
        </is>
      </c>
      <c r="BC740" t="inlineStr">
        <is>
          <t>32285002250933</t>
        </is>
      </c>
      <c r="BD740" t="inlineStr">
        <is>
          <t>893712363</t>
        </is>
      </c>
    </row>
    <row r="741">
      <c r="A741" t="inlineStr">
        <is>
          <t>No</t>
        </is>
      </c>
      <c r="B741" t="inlineStr">
        <is>
          <t>BF637.B4 M5 1978</t>
        </is>
      </c>
      <c r="C741" t="inlineStr">
        <is>
          <t>0                      BF 0637000B  4                  M  5           1978</t>
        </is>
      </c>
      <c r="D741" t="inlineStr">
        <is>
          <t>Behavior modification / William L. Mikulas.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Mikulas, William L.</t>
        </is>
      </c>
      <c r="L741" t="inlineStr">
        <is>
          <t>New York : Harper &amp; Row, c1978.</t>
        </is>
      </c>
      <c r="M741" t="inlineStr">
        <is>
          <t>1978</t>
        </is>
      </c>
      <c r="O741" t="inlineStr">
        <is>
          <t>eng</t>
        </is>
      </c>
      <c r="P741" t="inlineStr">
        <is>
          <t>nyu</t>
        </is>
      </c>
      <c r="R741" t="inlineStr">
        <is>
          <t xml:space="preserve">BF </t>
        </is>
      </c>
      <c r="S741" t="n">
        <v>2</v>
      </c>
      <c r="T741" t="n">
        <v>2</v>
      </c>
      <c r="U741" t="inlineStr">
        <is>
          <t>1996-02-24</t>
        </is>
      </c>
      <c r="V741" t="inlineStr">
        <is>
          <t>1996-02-24</t>
        </is>
      </c>
      <c r="W741" t="inlineStr">
        <is>
          <t>1992-03-31</t>
        </is>
      </c>
      <c r="X741" t="inlineStr">
        <is>
          <t>1992-03-31</t>
        </is>
      </c>
      <c r="Y741" t="n">
        <v>243</v>
      </c>
      <c r="Z741" t="n">
        <v>179</v>
      </c>
      <c r="AA741" t="n">
        <v>539</v>
      </c>
      <c r="AB741" t="n">
        <v>3</v>
      </c>
      <c r="AC741" t="n">
        <v>5</v>
      </c>
      <c r="AD741" t="n">
        <v>7</v>
      </c>
      <c r="AE741" t="n">
        <v>26</v>
      </c>
      <c r="AF741" t="n">
        <v>4</v>
      </c>
      <c r="AG741" t="n">
        <v>13</v>
      </c>
      <c r="AH741" t="n">
        <v>1</v>
      </c>
      <c r="AI741" t="n">
        <v>4</v>
      </c>
      <c r="AJ741" t="n">
        <v>4</v>
      </c>
      <c r="AK741" t="n">
        <v>16</v>
      </c>
      <c r="AL741" t="n">
        <v>0</v>
      </c>
      <c r="AM741" t="n">
        <v>2</v>
      </c>
      <c r="AN741" t="n">
        <v>0</v>
      </c>
      <c r="AO741" t="n">
        <v>0</v>
      </c>
      <c r="AP741" t="inlineStr">
        <is>
          <t>No</t>
        </is>
      </c>
      <c r="AQ741" t="inlineStr">
        <is>
          <t>Yes</t>
        </is>
      </c>
      <c r="AR741">
        <f>HYPERLINK("http://catalog.hathitrust.org/Record/000695120","HathiTrust Record")</f>
        <v/>
      </c>
      <c r="AS741">
        <f>HYPERLINK("https://creighton-primo.hosted.exlibrisgroup.com/primo-explore/search?tab=default_tab&amp;search_scope=EVERYTHING&amp;vid=01CRU&amp;lang=en_US&amp;offset=0&amp;query=any,contains,991004403389702656","Catalog Record")</f>
        <v/>
      </c>
      <c r="AT741">
        <f>HYPERLINK("http://www.worldcat.org/oclc/3311592","WorldCat Record")</f>
        <v/>
      </c>
      <c r="AU741" t="inlineStr">
        <is>
          <t>189883598:eng</t>
        </is>
      </c>
      <c r="AV741" t="inlineStr">
        <is>
          <t>3311592</t>
        </is>
      </c>
      <c r="AW741" t="inlineStr">
        <is>
          <t>991004403389702656</t>
        </is>
      </c>
      <c r="AX741" t="inlineStr">
        <is>
          <t>991004403389702656</t>
        </is>
      </c>
      <c r="AY741" t="inlineStr">
        <is>
          <t>2271376690002656</t>
        </is>
      </c>
      <c r="AZ741" t="inlineStr">
        <is>
          <t>BOOK</t>
        </is>
      </c>
      <c r="BB741" t="inlineStr">
        <is>
          <t>9780060444341</t>
        </is>
      </c>
      <c r="BC741" t="inlineStr">
        <is>
          <t>32285001030591</t>
        </is>
      </c>
      <c r="BD741" t="inlineStr">
        <is>
          <t>893700196</t>
        </is>
      </c>
    </row>
    <row r="742">
      <c r="A742" t="inlineStr">
        <is>
          <t>No</t>
        </is>
      </c>
      <c r="B742" t="inlineStr">
        <is>
          <t>BF637.B4 R4</t>
        </is>
      </c>
      <c r="C742" t="inlineStr">
        <is>
          <t>0                      BF 0637000B  4                  R  4</t>
        </is>
      </c>
      <c r="D742" t="inlineStr">
        <is>
          <t>Readings in behavior modification.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L742" t="inlineStr">
        <is>
          <t>Guilford, Conn. : Special Learning Corp., c1978.</t>
        </is>
      </c>
      <c r="M742" t="inlineStr">
        <is>
          <t>1978</t>
        </is>
      </c>
      <c r="O742" t="inlineStr">
        <is>
          <t>eng</t>
        </is>
      </c>
      <c r="P742" t="inlineStr">
        <is>
          <t>ctu</t>
        </is>
      </c>
      <c r="R742" t="inlineStr">
        <is>
          <t xml:space="preserve">BF </t>
        </is>
      </c>
      <c r="S742" t="n">
        <v>2</v>
      </c>
      <c r="T742" t="n">
        <v>2</v>
      </c>
      <c r="U742" t="inlineStr">
        <is>
          <t>1997-03-04</t>
        </is>
      </c>
      <c r="V742" t="inlineStr">
        <is>
          <t>1997-03-04</t>
        </is>
      </c>
      <c r="W742" t="inlineStr">
        <is>
          <t>1993-04-01</t>
        </is>
      </c>
      <c r="X742" t="inlineStr">
        <is>
          <t>1993-04-01</t>
        </is>
      </c>
      <c r="Y742" t="n">
        <v>269</v>
      </c>
      <c r="Z742" t="n">
        <v>230</v>
      </c>
      <c r="AA742" t="n">
        <v>232</v>
      </c>
      <c r="AB742" t="n">
        <v>2</v>
      </c>
      <c r="AC742" t="n">
        <v>2</v>
      </c>
      <c r="AD742" t="n">
        <v>10</v>
      </c>
      <c r="AE742" t="n">
        <v>10</v>
      </c>
      <c r="AF742" t="n">
        <v>5</v>
      </c>
      <c r="AG742" t="n">
        <v>5</v>
      </c>
      <c r="AH742" t="n">
        <v>0</v>
      </c>
      <c r="AI742" t="n">
        <v>0</v>
      </c>
      <c r="AJ742" t="n">
        <v>6</v>
      </c>
      <c r="AK742" t="n">
        <v>6</v>
      </c>
      <c r="AL742" t="n">
        <v>1</v>
      </c>
      <c r="AM742" t="n">
        <v>1</v>
      </c>
      <c r="AN742" t="n">
        <v>0</v>
      </c>
      <c r="AO742" t="n">
        <v>0</v>
      </c>
      <c r="AP742" t="inlineStr">
        <is>
          <t>No</t>
        </is>
      </c>
      <c r="AQ742" t="inlineStr">
        <is>
          <t>Yes</t>
        </is>
      </c>
      <c r="AR742">
        <f>HYPERLINK("http://catalog.hathitrust.org/Record/000753466","HathiTrust Record")</f>
        <v/>
      </c>
      <c r="AS742">
        <f>HYPERLINK("https://creighton-primo.hosted.exlibrisgroup.com/primo-explore/search?tab=default_tab&amp;search_scope=EVERYTHING&amp;vid=01CRU&amp;lang=en_US&amp;offset=0&amp;query=any,contains,991004442609702656","Catalog Record")</f>
        <v/>
      </c>
      <c r="AT742">
        <f>HYPERLINK("http://www.worldcat.org/oclc/3471099","WorldCat Record")</f>
        <v/>
      </c>
      <c r="AU742" t="inlineStr">
        <is>
          <t>54196919:eng</t>
        </is>
      </c>
      <c r="AV742" t="inlineStr">
        <is>
          <t>3471099</t>
        </is>
      </c>
      <c r="AW742" t="inlineStr">
        <is>
          <t>991004442609702656</t>
        </is>
      </c>
      <c r="AX742" t="inlineStr">
        <is>
          <t>991004442609702656</t>
        </is>
      </c>
      <c r="AY742" t="inlineStr">
        <is>
          <t>2270241430002656</t>
        </is>
      </c>
      <c r="AZ742" t="inlineStr">
        <is>
          <t>BOOK</t>
        </is>
      </c>
      <c r="BB742" t="inlineStr">
        <is>
          <t>9780895680044</t>
        </is>
      </c>
      <c r="BC742" t="inlineStr">
        <is>
          <t>32285001598035</t>
        </is>
      </c>
      <c r="BD742" t="inlineStr">
        <is>
          <t>893882479</t>
        </is>
      </c>
    </row>
    <row r="743">
      <c r="A743" t="inlineStr">
        <is>
          <t>No</t>
        </is>
      </c>
      <c r="B743" t="inlineStr">
        <is>
          <t>BF637.B4 S38</t>
        </is>
      </c>
      <c r="C743" t="inlineStr">
        <is>
          <t>0                      BF 0637000B  4                  S  38</t>
        </is>
      </c>
      <c r="D743" t="inlineStr">
        <is>
          <t>Changing human behavior : principles of planned intervention / [by] Ralph K. Schwitzgebel [and] David A. Kolb.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Schwitzgebel, Ralph K., 1934-</t>
        </is>
      </c>
      <c r="L743" t="inlineStr">
        <is>
          <t>New York : McGraw-Hill, [1974]</t>
        </is>
      </c>
      <c r="M743" t="inlineStr">
        <is>
          <t>1974</t>
        </is>
      </c>
      <c r="O743" t="inlineStr">
        <is>
          <t>eng</t>
        </is>
      </c>
      <c r="P743" t="inlineStr">
        <is>
          <t>nyu</t>
        </is>
      </c>
      <c r="Q743" t="inlineStr">
        <is>
          <t>McGraw-Hill series in psychology</t>
        </is>
      </c>
      <c r="R743" t="inlineStr">
        <is>
          <t xml:space="preserve">BF </t>
        </is>
      </c>
      <c r="S743" t="n">
        <v>2</v>
      </c>
      <c r="T743" t="n">
        <v>2</v>
      </c>
      <c r="U743" t="inlineStr">
        <is>
          <t>1999-03-10</t>
        </is>
      </c>
      <c r="V743" t="inlineStr">
        <is>
          <t>1999-03-10</t>
        </is>
      </c>
      <c r="W743" t="inlineStr">
        <is>
          <t>1991-04-08</t>
        </is>
      </c>
      <c r="X743" t="inlineStr">
        <is>
          <t>1991-04-08</t>
        </is>
      </c>
      <c r="Y743" t="n">
        <v>569</v>
      </c>
      <c r="Z743" t="n">
        <v>432</v>
      </c>
      <c r="AA743" t="n">
        <v>433</v>
      </c>
      <c r="AB743" t="n">
        <v>7</v>
      </c>
      <c r="AC743" t="n">
        <v>7</v>
      </c>
      <c r="AD743" t="n">
        <v>19</v>
      </c>
      <c r="AE743" t="n">
        <v>19</v>
      </c>
      <c r="AF743" t="n">
        <v>8</v>
      </c>
      <c r="AG743" t="n">
        <v>8</v>
      </c>
      <c r="AH743" t="n">
        <v>2</v>
      </c>
      <c r="AI743" t="n">
        <v>2</v>
      </c>
      <c r="AJ743" t="n">
        <v>9</v>
      </c>
      <c r="AK743" t="n">
        <v>9</v>
      </c>
      <c r="AL743" t="n">
        <v>4</v>
      </c>
      <c r="AM743" t="n">
        <v>4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HYPERLINK("http://catalog.hathitrust.org/Record/000382699","HathiTrust Record")</f>
        <v/>
      </c>
      <c r="AS743">
        <f>HYPERLINK("https://creighton-primo.hosted.exlibrisgroup.com/primo-explore/search?tab=default_tab&amp;search_scope=EVERYTHING&amp;vid=01CRU&amp;lang=en_US&amp;offset=0&amp;query=any,contains,991003165879702656","Catalog Record")</f>
        <v/>
      </c>
      <c r="AT743">
        <f>HYPERLINK("http://www.worldcat.org/oclc/703274","WorldCat Record")</f>
        <v/>
      </c>
      <c r="AU743" t="inlineStr">
        <is>
          <t>1613153:eng</t>
        </is>
      </c>
      <c r="AV743" t="inlineStr">
        <is>
          <t>703274</t>
        </is>
      </c>
      <c r="AW743" t="inlineStr">
        <is>
          <t>991003165879702656</t>
        </is>
      </c>
      <c r="AX743" t="inlineStr">
        <is>
          <t>991003165879702656</t>
        </is>
      </c>
      <c r="AY743" t="inlineStr">
        <is>
          <t>2257419580002656</t>
        </is>
      </c>
      <c r="AZ743" t="inlineStr">
        <is>
          <t>BOOK</t>
        </is>
      </c>
      <c r="BB743" t="inlineStr">
        <is>
          <t>9780070557390</t>
        </is>
      </c>
      <c r="BC743" t="inlineStr">
        <is>
          <t>32285000550409</t>
        </is>
      </c>
      <c r="BD743" t="inlineStr">
        <is>
          <t>893428500</t>
        </is>
      </c>
    </row>
    <row r="744">
      <c r="A744" t="inlineStr">
        <is>
          <t>No</t>
        </is>
      </c>
      <c r="B744" t="inlineStr">
        <is>
          <t>BF637.B4 S57</t>
        </is>
      </c>
      <c r="C744" t="inlineStr">
        <is>
          <t>0                      BF 0637000B  4                  S  57</t>
        </is>
      </c>
      <c r="D744" t="inlineStr">
        <is>
          <t>Behavior modification : theory and practice / [by] A. Robert Sherman.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Sherman, A. Robert.</t>
        </is>
      </c>
      <c r="L744" t="inlineStr">
        <is>
          <t>Monterey, Calif. : Brooks/Cole Pub. Co., [1973]</t>
        </is>
      </c>
      <c r="M744" t="inlineStr">
        <is>
          <t>1973</t>
        </is>
      </c>
      <c r="O744" t="inlineStr">
        <is>
          <t>eng</t>
        </is>
      </c>
      <c r="P744" t="inlineStr">
        <is>
          <t>cau</t>
        </is>
      </c>
      <c r="R744" t="inlineStr">
        <is>
          <t xml:space="preserve">BF </t>
        </is>
      </c>
      <c r="S744" t="n">
        <v>6</v>
      </c>
      <c r="T744" t="n">
        <v>6</v>
      </c>
      <c r="U744" t="inlineStr">
        <is>
          <t>2001-05-04</t>
        </is>
      </c>
      <c r="V744" t="inlineStr">
        <is>
          <t>2001-05-04</t>
        </is>
      </c>
      <c r="W744" t="inlineStr">
        <is>
          <t>1992-03-06</t>
        </is>
      </c>
      <c r="X744" t="inlineStr">
        <is>
          <t>1992-03-06</t>
        </is>
      </c>
      <c r="Y744" t="n">
        <v>482</v>
      </c>
      <c r="Z744" t="n">
        <v>394</v>
      </c>
      <c r="AA744" t="n">
        <v>396</v>
      </c>
      <c r="AB744" t="n">
        <v>4</v>
      </c>
      <c r="AC744" t="n">
        <v>4</v>
      </c>
      <c r="AD744" t="n">
        <v>18</v>
      </c>
      <c r="AE744" t="n">
        <v>18</v>
      </c>
      <c r="AF744" t="n">
        <v>9</v>
      </c>
      <c r="AG744" t="n">
        <v>9</v>
      </c>
      <c r="AH744" t="n">
        <v>2</v>
      </c>
      <c r="AI744" t="n">
        <v>2</v>
      </c>
      <c r="AJ744" t="n">
        <v>7</v>
      </c>
      <c r="AK744" t="n">
        <v>7</v>
      </c>
      <c r="AL744" t="n">
        <v>3</v>
      </c>
      <c r="AM744" t="n">
        <v>3</v>
      </c>
      <c r="AN744" t="n">
        <v>0</v>
      </c>
      <c r="AO744" t="n">
        <v>0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HYPERLINK("http://catalog.hathitrust.org/Record/000008186","HathiTrust Record")</f>
        <v/>
      </c>
      <c r="AS744">
        <f>HYPERLINK("https://creighton-primo.hosted.exlibrisgroup.com/primo-explore/search?tab=default_tab&amp;search_scope=EVERYTHING&amp;vid=01CRU&amp;lang=en_US&amp;offset=0&amp;query=any,contains,991003038739702656","Catalog Record")</f>
        <v/>
      </c>
      <c r="AT744">
        <f>HYPERLINK("http://www.worldcat.org/oclc/600414","WorldCat Record")</f>
        <v/>
      </c>
      <c r="AU744" t="inlineStr">
        <is>
          <t>375496224:eng</t>
        </is>
      </c>
      <c r="AV744" t="inlineStr">
        <is>
          <t>600414</t>
        </is>
      </c>
      <c r="AW744" t="inlineStr">
        <is>
          <t>991003038739702656</t>
        </is>
      </c>
      <c r="AX744" t="inlineStr">
        <is>
          <t>991003038739702656</t>
        </is>
      </c>
      <c r="AY744" t="inlineStr">
        <is>
          <t>2261108000002656</t>
        </is>
      </c>
      <c r="AZ744" t="inlineStr">
        <is>
          <t>BOOK</t>
        </is>
      </c>
      <c r="BB744" t="inlineStr">
        <is>
          <t>9780818500664</t>
        </is>
      </c>
      <c r="BC744" t="inlineStr">
        <is>
          <t>32285000992072</t>
        </is>
      </c>
      <c r="BD744" t="inlineStr">
        <is>
          <t>893704848</t>
        </is>
      </c>
    </row>
    <row r="745">
      <c r="A745" t="inlineStr">
        <is>
          <t>No</t>
        </is>
      </c>
      <c r="B745" t="inlineStr">
        <is>
          <t>BF637.B4 S85</t>
        </is>
      </c>
      <c r="C745" t="inlineStr">
        <is>
          <t>0                      BF 0637000B  4                  S  85</t>
        </is>
      </c>
      <c r="D745" t="inlineStr">
        <is>
          <t>Ethical issues in behavior modification : [report of the American Psychological Association Commission] / Stephanie B. Stolz and associates ; foreword by Albert Bandura ; members of the Commission, Sidney W. Bijou, Chair ... [et al.]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Stolz, Stephanie B.</t>
        </is>
      </c>
      <c r="L745" t="inlineStr">
        <is>
          <t>San Francisco : Jossey-Bass, 1978.</t>
        </is>
      </c>
      <c r="M745" t="inlineStr">
        <is>
          <t>1978</t>
        </is>
      </c>
      <c r="N745" t="inlineStr">
        <is>
          <t>1st ed.</t>
        </is>
      </c>
      <c r="O745" t="inlineStr">
        <is>
          <t>eng</t>
        </is>
      </c>
      <c r="P745" t="inlineStr">
        <is>
          <t>cau</t>
        </is>
      </c>
      <c r="Q745" t="inlineStr">
        <is>
          <t>The Jossey-Bass social and behavioral science series</t>
        </is>
      </c>
      <c r="R745" t="inlineStr">
        <is>
          <t xml:space="preserve">BF </t>
        </is>
      </c>
      <c r="S745" t="n">
        <v>7</v>
      </c>
      <c r="T745" t="n">
        <v>7</v>
      </c>
      <c r="U745" t="inlineStr">
        <is>
          <t>1996-12-04</t>
        </is>
      </c>
      <c r="V745" t="inlineStr">
        <is>
          <t>1996-12-04</t>
        </is>
      </c>
      <c r="W745" t="inlineStr">
        <is>
          <t>1992-04-03</t>
        </is>
      </c>
      <c r="X745" t="inlineStr">
        <is>
          <t>1992-04-03</t>
        </is>
      </c>
      <c r="Y745" t="n">
        <v>693</v>
      </c>
      <c r="Z745" t="n">
        <v>587</v>
      </c>
      <c r="AA745" t="n">
        <v>599</v>
      </c>
      <c r="AB745" t="n">
        <v>7</v>
      </c>
      <c r="AC745" t="n">
        <v>7</v>
      </c>
      <c r="AD745" t="n">
        <v>30</v>
      </c>
      <c r="AE745" t="n">
        <v>31</v>
      </c>
      <c r="AF745" t="n">
        <v>11</v>
      </c>
      <c r="AG745" t="n">
        <v>11</v>
      </c>
      <c r="AH745" t="n">
        <v>6</v>
      </c>
      <c r="AI745" t="n">
        <v>7</v>
      </c>
      <c r="AJ745" t="n">
        <v>14</v>
      </c>
      <c r="AK745" t="n">
        <v>15</v>
      </c>
      <c r="AL745" t="n">
        <v>5</v>
      </c>
      <c r="AM745" t="n">
        <v>5</v>
      </c>
      <c r="AN745" t="n">
        <v>1</v>
      </c>
      <c r="AO745" t="n">
        <v>1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HYPERLINK("http://catalog.hathitrust.org/Record/000134745","HathiTrust Record")</f>
        <v/>
      </c>
      <c r="AS745">
        <f>HYPERLINK("https://creighton-primo.hosted.exlibrisgroup.com/primo-explore/search?tab=default_tab&amp;search_scope=EVERYTHING&amp;vid=01CRU&amp;lang=en_US&amp;offset=0&amp;query=any,contains,991004522999702656","Catalog Record")</f>
        <v/>
      </c>
      <c r="AT745">
        <f>HYPERLINK("http://www.worldcat.org/oclc/3830822","WorldCat Record")</f>
        <v/>
      </c>
      <c r="AU745" t="inlineStr">
        <is>
          <t>532630:eng</t>
        </is>
      </c>
      <c r="AV745" t="inlineStr">
        <is>
          <t>3830822</t>
        </is>
      </c>
      <c r="AW745" t="inlineStr">
        <is>
          <t>991004522999702656</t>
        </is>
      </c>
      <c r="AX745" t="inlineStr">
        <is>
          <t>991004522999702656</t>
        </is>
      </c>
      <c r="AY745" t="inlineStr">
        <is>
          <t>2271250350002656</t>
        </is>
      </c>
      <c r="AZ745" t="inlineStr">
        <is>
          <t>BOOK</t>
        </is>
      </c>
      <c r="BB745" t="inlineStr">
        <is>
          <t>9780875893686</t>
        </is>
      </c>
      <c r="BC745" t="inlineStr">
        <is>
          <t>32285001048189</t>
        </is>
      </c>
      <c r="BD745" t="inlineStr">
        <is>
          <t>893500689</t>
        </is>
      </c>
    </row>
    <row r="746">
      <c r="A746" t="inlineStr">
        <is>
          <t>No</t>
        </is>
      </c>
      <c r="B746" t="inlineStr">
        <is>
          <t>BF637.C4 M29 1991</t>
        </is>
      </c>
      <c r="C746" t="inlineStr">
        <is>
          <t>0                      BF 0637000C  4                  M  29          1991</t>
        </is>
      </c>
      <c r="D746" t="inlineStr">
        <is>
          <t>Human change processes : the scientific foundations of psychotherapy / Michael J. Mahoney.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Mahoney, Michael J.</t>
        </is>
      </c>
      <c r="L746" t="inlineStr">
        <is>
          <t>New York : BasicBooks, c1991.</t>
        </is>
      </c>
      <c r="M746" t="inlineStr">
        <is>
          <t>1990</t>
        </is>
      </c>
      <c r="O746" t="inlineStr">
        <is>
          <t>eng</t>
        </is>
      </c>
      <c r="P746" t="inlineStr">
        <is>
          <t>nyu</t>
        </is>
      </c>
      <c r="R746" t="inlineStr">
        <is>
          <t xml:space="preserve">BF </t>
        </is>
      </c>
      <c r="S746" t="n">
        <v>4</v>
      </c>
      <c r="T746" t="n">
        <v>4</v>
      </c>
      <c r="U746" t="inlineStr">
        <is>
          <t>2003-05-02</t>
        </is>
      </c>
      <c r="V746" t="inlineStr">
        <is>
          <t>2003-05-02</t>
        </is>
      </c>
      <c r="W746" t="inlineStr">
        <is>
          <t>1991-06-04</t>
        </is>
      </c>
      <c r="X746" t="inlineStr">
        <is>
          <t>1991-06-04</t>
        </is>
      </c>
      <c r="Y746" t="n">
        <v>629</v>
      </c>
      <c r="Z746" t="n">
        <v>517</v>
      </c>
      <c r="AA746" t="n">
        <v>519</v>
      </c>
      <c r="AB746" t="n">
        <v>7</v>
      </c>
      <c r="AC746" t="n">
        <v>7</v>
      </c>
      <c r="AD746" t="n">
        <v>31</v>
      </c>
      <c r="AE746" t="n">
        <v>31</v>
      </c>
      <c r="AF746" t="n">
        <v>11</v>
      </c>
      <c r="AG746" t="n">
        <v>11</v>
      </c>
      <c r="AH746" t="n">
        <v>7</v>
      </c>
      <c r="AI746" t="n">
        <v>7</v>
      </c>
      <c r="AJ746" t="n">
        <v>16</v>
      </c>
      <c r="AK746" t="n">
        <v>16</v>
      </c>
      <c r="AL746" t="n">
        <v>6</v>
      </c>
      <c r="AM746" t="n">
        <v>6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HYPERLINK("http://catalog.hathitrust.org/Record/002704823","HathiTrust Record")</f>
        <v/>
      </c>
      <c r="AS746">
        <f>HYPERLINK("https://creighton-primo.hosted.exlibrisgroup.com/primo-explore/search?tab=default_tab&amp;search_scope=EVERYTHING&amp;vid=01CRU&amp;lang=en_US&amp;offset=0&amp;query=any,contains,991001783149702656","Catalog Record")</f>
        <v/>
      </c>
      <c r="AT746">
        <f>HYPERLINK("http://www.worldcat.org/oclc/22489415","WorldCat Record")</f>
        <v/>
      </c>
      <c r="AU746" t="inlineStr">
        <is>
          <t>24522910:eng</t>
        </is>
      </c>
      <c r="AV746" t="inlineStr">
        <is>
          <t>22489415</t>
        </is>
      </c>
      <c r="AW746" t="inlineStr">
        <is>
          <t>991001783149702656</t>
        </is>
      </c>
      <c r="AX746" t="inlineStr">
        <is>
          <t>991001783149702656</t>
        </is>
      </c>
      <c r="AY746" t="inlineStr">
        <is>
          <t>2271613870002656</t>
        </is>
      </c>
      <c r="AZ746" t="inlineStr">
        <is>
          <t>BOOK</t>
        </is>
      </c>
      <c r="BB746" t="inlineStr">
        <is>
          <t>9780465031184</t>
        </is>
      </c>
      <c r="BC746" t="inlineStr">
        <is>
          <t>32285000591858</t>
        </is>
      </c>
      <c r="BD746" t="inlineStr">
        <is>
          <t>893346775</t>
        </is>
      </c>
    </row>
    <row r="747">
      <c r="A747" t="inlineStr">
        <is>
          <t>No</t>
        </is>
      </c>
      <c r="B747" t="inlineStr">
        <is>
          <t>BF637.C45 B4 1982</t>
        </is>
      </c>
      <c r="C747" t="inlineStr">
        <is>
          <t>0                      BF 0637000C  45                 B  4           1982</t>
        </is>
      </c>
      <c r="D747" t="inlineStr">
        <is>
          <t>Language and social knowledge : uncertainty in interpersonal relations / Charles R. Berger, James J. Bradac.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Berger, Charles R.</t>
        </is>
      </c>
      <c r="L747" t="inlineStr">
        <is>
          <t>London : E. Arnold, c1982.</t>
        </is>
      </c>
      <c r="M747" t="inlineStr">
        <is>
          <t>1982</t>
        </is>
      </c>
      <c r="O747" t="inlineStr">
        <is>
          <t>eng</t>
        </is>
      </c>
      <c r="P747" t="inlineStr">
        <is>
          <t>enk</t>
        </is>
      </c>
      <c r="Q747" t="inlineStr">
        <is>
          <t>The social psychology of language ; 2</t>
        </is>
      </c>
      <c r="R747" t="inlineStr">
        <is>
          <t xml:space="preserve">BF </t>
        </is>
      </c>
      <c r="S747" t="n">
        <v>4</v>
      </c>
      <c r="T747" t="n">
        <v>4</v>
      </c>
      <c r="U747" t="inlineStr">
        <is>
          <t>2001-11-28</t>
        </is>
      </c>
      <c r="V747" t="inlineStr">
        <is>
          <t>2001-11-28</t>
        </is>
      </c>
      <c r="W747" t="inlineStr">
        <is>
          <t>1993-04-01</t>
        </is>
      </c>
      <c r="X747" t="inlineStr">
        <is>
          <t>1993-04-01</t>
        </is>
      </c>
      <c r="Y747" t="n">
        <v>570</v>
      </c>
      <c r="Z747" t="n">
        <v>412</v>
      </c>
      <c r="AA747" t="n">
        <v>414</v>
      </c>
      <c r="AB747" t="n">
        <v>5</v>
      </c>
      <c r="AC747" t="n">
        <v>5</v>
      </c>
      <c r="AD747" t="n">
        <v>25</v>
      </c>
      <c r="AE747" t="n">
        <v>25</v>
      </c>
      <c r="AF747" t="n">
        <v>13</v>
      </c>
      <c r="AG747" t="n">
        <v>13</v>
      </c>
      <c r="AH747" t="n">
        <v>4</v>
      </c>
      <c r="AI747" t="n">
        <v>4</v>
      </c>
      <c r="AJ747" t="n">
        <v>10</v>
      </c>
      <c r="AK747" t="n">
        <v>10</v>
      </c>
      <c r="AL747" t="n">
        <v>4</v>
      </c>
      <c r="AM747" t="n">
        <v>4</v>
      </c>
      <c r="AN747" t="n">
        <v>0</v>
      </c>
      <c r="AO747" t="n">
        <v>0</v>
      </c>
      <c r="AP747" t="inlineStr">
        <is>
          <t>No</t>
        </is>
      </c>
      <c r="AQ747" t="inlineStr">
        <is>
          <t>Yes</t>
        </is>
      </c>
      <c r="AR747">
        <f>HYPERLINK("http://catalog.hathitrust.org/Record/000233562","HathiTrust Record")</f>
        <v/>
      </c>
      <c r="AS747">
        <f>HYPERLINK("https://creighton-primo.hosted.exlibrisgroup.com/primo-explore/search?tab=default_tab&amp;search_scope=EVERYTHING&amp;vid=01CRU&amp;lang=en_US&amp;offset=0&amp;query=any,contains,991000144199702656","Catalog Record")</f>
        <v/>
      </c>
      <c r="AT747">
        <f>HYPERLINK("http://www.worldcat.org/oclc/9188089","WorldCat Record")</f>
        <v/>
      </c>
      <c r="AU747" t="inlineStr">
        <is>
          <t>836712461:eng</t>
        </is>
      </c>
      <c r="AV747" t="inlineStr">
        <is>
          <t>9188089</t>
        </is>
      </c>
      <c r="AW747" t="inlineStr">
        <is>
          <t>991000144199702656</t>
        </is>
      </c>
      <c r="AX747" t="inlineStr">
        <is>
          <t>991000144199702656</t>
        </is>
      </c>
      <c r="AY747" t="inlineStr">
        <is>
          <t>2263722960002656</t>
        </is>
      </c>
      <c r="AZ747" t="inlineStr">
        <is>
          <t>BOOK</t>
        </is>
      </c>
      <c r="BB747" t="inlineStr">
        <is>
          <t>9780713161960</t>
        </is>
      </c>
      <c r="BC747" t="inlineStr">
        <is>
          <t>32285001598084</t>
        </is>
      </c>
      <c r="BD747" t="inlineStr">
        <is>
          <t>893243030</t>
        </is>
      </c>
    </row>
    <row r="748">
      <c r="A748" t="inlineStr">
        <is>
          <t>No</t>
        </is>
      </c>
      <c r="B748" t="inlineStr">
        <is>
          <t>BF637.C45 B84 1983</t>
        </is>
      </c>
      <c r="C748" t="inlineStr">
        <is>
          <t>0                      BF 0637000C  45                 B  84          1983</t>
        </is>
      </c>
      <c r="D748" t="inlineStr">
        <is>
          <t>Body movement and interpersonal communication / Peter Bull.</t>
        </is>
      </c>
      <c r="F748" t="inlineStr">
        <is>
          <t>No</t>
        </is>
      </c>
      <c r="G748" t="inlineStr">
        <is>
          <t>1</t>
        </is>
      </c>
      <c r="H748" t="inlineStr">
        <is>
          <t>Yes</t>
        </is>
      </c>
      <c r="I748" t="inlineStr">
        <is>
          <t>No</t>
        </is>
      </c>
      <c r="J748" t="inlineStr">
        <is>
          <t>0</t>
        </is>
      </c>
      <c r="K748" t="inlineStr">
        <is>
          <t>Bull, Peter, 1949-</t>
        </is>
      </c>
      <c r="L748" t="inlineStr">
        <is>
          <t>Chichester ; New York : Wiley, c1983, 1984 printing.</t>
        </is>
      </c>
      <c r="M748" t="inlineStr">
        <is>
          <t>1983</t>
        </is>
      </c>
      <c r="O748" t="inlineStr">
        <is>
          <t>eng</t>
        </is>
      </c>
      <c r="P748" t="inlineStr">
        <is>
          <t>enk</t>
        </is>
      </c>
      <c r="R748" t="inlineStr">
        <is>
          <t xml:space="preserve">BF </t>
        </is>
      </c>
      <c r="S748" t="n">
        <v>19</v>
      </c>
      <c r="T748" t="n">
        <v>24</v>
      </c>
      <c r="U748" t="inlineStr">
        <is>
          <t>2007-02-24</t>
        </is>
      </c>
      <c r="V748" t="inlineStr">
        <is>
          <t>2007-02-24</t>
        </is>
      </c>
      <c r="W748" t="inlineStr">
        <is>
          <t>1990-03-27</t>
        </is>
      </c>
      <c r="X748" t="inlineStr">
        <is>
          <t>1990-03-27</t>
        </is>
      </c>
      <c r="Y748" t="n">
        <v>543</v>
      </c>
      <c r="Z748" t="n">
        <v>425</v>
      </c>
      <c r="AA748" t="n">
        <v>431</v>
      </c>
      <c r="AB748" t="n">
        <v>4</v>
      </c>
      <c r="AC748" t="n">
        <v>4</v>
      </c>
      <c r="AD748" t="n">
        <v>18</v>
      </c>
      <c r="AE748" t="n">
        <v>18</v>
      </c>
      <c r="AF748" t="n">
        <v>5</v>
      </c>
      <c r="AG748" t="n">
        <v>5</v>
      </c>
      <c r="AH748" t="n">
        <v>4</v>
      </c>
      <c r="AI748" t="n">
        <v>4</v>
      </c>
      <c r="AJ748" t="n">
        <v>12</v>
      </c>
      <c r="AK748" t="n">
        <v>12</v>
      </c>
      <c r="AL748" t="n">
        <v>2</v>
      </c>
      <c r="AM748" t="n">
        <v>2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HYPERLINK("http://catalog.hathitrust.org/Record/000202924","HathiTrust Record")</f>
        <v/>
      </c>
      <c r="AS748">
        <f>HYPERLINK("https://creighton-primo.hosted.exlibrisgroup.com/primo-explore/search?tab=default_tab&amp;search_scope=EVERYTHING&amp;vid=01CRU&amp;lang=en_US&amp;offset=0&amp;query=any,contains,991001762539702656","Catalog Record")</f>
        <v/>
      </c>
      <c r="AT748">
        <f>HYPERLINK("http://www.worldcat.org/oclc/9082713","WorldCat Record")</f>
        <v/>
      </c>
      <c r="AU748" t="inlineStr">
        <is>
          <t>4991459:eng</t>
        </is>
      </c>
      <c r="AV748" t="inlineStr">
        <is>
          <t>9082713</t>
        </is>
      </c>
      <c r="AW748" t="inlineStr">
        <is>
          <t>991001762539702656</t>
        </is>
      </c>
      <c r="AX748" t="inlineStr">
        <is>
          <t>991001762539702656</t>
        </is>
      </c>
      <c r="AY748" t="inlineStr">
        <is>
          <t>2255183380002656</t>
        </is>
      </c>
      <c r="AZ748" t="inlineStr">
        <is>
          <t>BOOK</t>
        </is>
      </c>
      <c r="BB748" t="inlineStr">
        <is>
          <t>9780471900696</t>
        </is>
      </c>
      <c r="BC748" t="inlineStr">
        <is>
          <t>32285000098011</t>
        </is>
      </c>
      <c r="BD748" t="inlineStr">
        <is>
          <t>893621589</t>
        </is>
      </c>
    </row>
    <row r="749">
      <c r="A749" t="inlineStr">
        <is>
          <t>No</t>
        </is>
      </c>
      <c r="B749" t="inlineStr">
        <is>
          <t>BF637.C45 C643 1984</t>
        </is>
      </c>
      <c r="C749" t="inlineStr">
        <is>
          <t>0                      BF 0637000C  45                 C  643         1984</t>
        </is>
      </c>
      <c r="D749" t="inlineStr">
        <is>
          <t>Communication by children and adults : social cognitive and strategic processes / edited by Howard E. Sypher, James L. Applegate.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L749" t="inlineStr">
        <is>
          <t>Beverly Hills : Sage Publications, c1984.</t>
        </is>
      </c>
      <c r="M749" t="inlineStr">
        <is>
          <t>1984</t>
        </is>
      </c>
      <c r="O749" t="inlineStr">
        <is>
          <t>eng</t>
        </is>
      </c>
      <c r="P749" t="inlineStr">
        <is>
          <t>cau</t>
        </is>
      </c>
      <c r="Q749" t="inlineStr">
        <is>
          <t>Sage series in interpersonal communication ; v. 5</t>
        </is>
      </c>
      <c r="R749" t="inlineStr">
        <is>
          <t xml:space="preserve">BF </t>
        </is>
      </c>
      <c r="S749" t="n">
        <v>8</v>
      </c>
      <c r="T749" t="n">
        <v>8</v>
      </c>
      <c r="U749" t="inlineStr">
        <is>
          <t>2005-09-23</t>
        </is>
      </c>
      <c r="V749" t="inlineStr">
        <is>
          <t>2005-09-23</t>
        </is>
      </c>
      <c r="W749" t="inlineStr">
        <is>
          <t>1992-04-15</t>
        </is>
      </c>
      <c r="X749" t="inlineStr">
        <is>
          <t>1992-04-15</t>
        </is>
      </c>
      <c r="Y749" t="n">
        <v>428</v>
      </c>
      <c r="Z749" t="n">
        <v>331</v>
      </c>
      <c r="AA749" t="n">
        <v>333</v>
      </c>
      <c r="AB749" t="n">
        <v>4</v>
      </c>
      <c r="AC749" t="n">
        <v>4</v>
      </c>
      <c r="AD749" t="n">
        <v>19</v>
      </c>
      <c r="AE749" t="n">
        <v>19</v>
      </c>
      <c r="AF749" t="n">
        <v>5</v>
      </c>
      <c r="AG749" t="n">
        <v>5</v>
      </c>
      <c r="AH749" t="n">
        <v>3</v>
      </c>
      <c r="AI749" t="n">
        <v>3</v>
      </c>
      <c r="AJ749" t="n">
        <v>11</v>
      </c>
      <c r="AK749" t="n">
        <v>11</v>
      </c>
      <c r="AL749" t="n">
        <v>3</v>
      </c>
      <c r="AM749" t="n">
        <v>3</v>
      </c>
      <c r="AN749" t="n">
        <v>0</v>
      </c>
      <c r="AO749" t="n">
        <v>0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HYPERLINK("http://catalog.hathitrust.org/Record/000589373","HathiTrust Record")</f>
        <v/>
      </c>
      <c r="AS749">
        <f>HYPERLINK("https://creighton-primo.hosted.exlibrisgroup.com/primo-explore/search?tab=default_tab&amp;search_scope=EVERYTHING&amp;vid=01CRU&amp;lang=en_US&amp;offset=0&amp;query=any,contains,991000389449702656","Catalog Record")</f>
        <v/>
      </c>
      <c r="AT749">
        <f>HYPERLINK("http://www.worldcat.org/oclc/10533660","WorldCat Record")</f>
        <v/>
      </c>
      <c r="AU749" t="inlineStr">
        <is>
          <t>836658270:eng</t>
        </is>
      </c>
      <c r="AV749" t="inlineStr">
        <is>
          <t>10533660</t>
        </is>
      </c>
      <c r="AW749" t="inlineStr">
        <is>
          <t>991000389449702656</t>
        </is>
      </c>
      <c r="AX749" t="inlineStr">
        <is>
          <t>991000389449702656</t>
        </is>
      </c>
      <c r="AY749" t="inlineStr">
        <is>
          <t>2257467500002656</t>
        </is>
      </c>
      <c r="AZ749" t="inlineStr">
        <is>
          <t>BOOK</t>
        </is>
      </c>
      <c r="BB749" t="inlineStr">
        <is>
          <t>9780803923171</t>
        </is>
      </c>
      <c r="BC749" t="inlineStr">
        <is>
          <t>32285001060481</t>
        </is>
      </c>
      <c r="BD749" t="inlineStr">
        <is>
          <t>893865306</t>
        </is>
      </c>
    </row>
    <row r="750">
      <c r="A750" t="inlineStr">
        <is>
          <t>No</t>
        </is>
      </c>
      <c r="B750" t="inlineStr">
        <is>
          <t>BF637.C45 C647 1984</t>
        </is>
      </c>
      <c r="C750" t="inlineStr">
        <is>
          <t>0                      BF 0637000C  45                 C  647         1984</t>
        </is>
      </c>
      <c r="D750" t="inlineStr">
        <is>
          <t>Communication, intimacy, and close relationships / edited by Valerian J. Derlega.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L750" t="inlineStr">
        <is>
          <t>Orlando [Fla.] : Academic Press, 1984.</t>
        </is>
      </c>
      <c r="M750" t="inlineStr">
        <is>
          <t>1984</t>
        </is>
      </c>
      <c r="O750" t="inlineStr">
        <is>
          <t>eng</t>
        </is>
      </c>
      <c r="P750" t="inlineStr">
        <is>
          <t>flu</t>
        </is>
      </c>
      <c r="R750" t="inlineStr">
        <is>
          <t xml:space="preserve">BF </t>
        </is>
      </c>
      <c r="S750" t="n">
        <v>29</v>
      </c>
      <c r="T750" t="n">
        <v>29</v>
      </c>
      <c r="U750" t="inlineStr">
        <is>
          <t>2002-11-18</t>
        </is>
      </c>
      <c r="V750" t="inlineStr">
        <is>
          <t>2002-11-18</t>
        </is>
      </c>
      <c r="W750" t="inlineStr">
        <is>
          <t>1992-04-22</t>
        </is>
      </c>
      <c r="X750" t="inlineStr">
        <is>
          <t>1992-04-22</t>
        </is>
      </c>
      <c r="Y750" t="n">
        <v>569</v>
      </c>
      <c r="Z750" t="n">
        <v>452</v>
      </c>
      <c r="AA750" t="n">
        <v>486</v>
      </c>
      <c r="AB750" t="n">
        <v>6</v>
      </c>
      <c r="AC750" t="n">
        <v>7</v>
      </c>
      <c r="AD750" t="n">
        <v>26</v>
      </c>
      <c r="AE750" t="n">
        <v>30</v>
      </c>
      <c r="AF750" t="n">
        <v>9</v>
      </c>
      <c r="AG750" t="n">
        <v>11</v>
      </c>
      <c r="AH750" t="n">
        <v>7</v>
      </c>
      <c r="AI750" t="n">
        <v>9</v>
      </c>
      <c r="AJ750" t="n">
        <v>12</v>
      </c>
      <c r="AK750" t="n">
        <v>12</v>
      </c>
      <c r="AL750" t="n">
        <v>5</v>
      </c>
      <c r="AM750" t="n">
        <v>6</v>
      </c>
      <c r="AN750" t="n">
        <v>0</v>
      </c>
      <c r="AO750" t="n">
        <v>0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HYPERLINK("http://catalog.hathitrust.org/Record/000286866","HathiTrust Record")</f>
        <v/>
      </c>
      <c r="AS750">
        <f>HYPERLINK("https://creighton-primo.hosted.exlibrisgroup.com/primo-explore/search?tab=default_tab&amp;search_scope=EVERYTHING&amp;vid=01CRU&amp;lang=en_US&amp;offset=0&amp;query=any,contains,991000329279702656","Catalog Record")</f>
        <v/>
      </c>
      <c r="AT750">
        <f>HYPERLINK("http://www.worldcat.org/oclc/10185532","WorldCat Record")</f>
        <v/>
      </c>
      <c r="AU750" t="inlineStr">
        <is>
          <t>3487493:eng</t>
        </is>
      </c>
      <c r="AV750" t="inlineStr">
        <is>
          <t>10185532</t>
        </is>
      </c>
      <c r="AW750" t="inlineStr">
        <is>
          <t>991000329279702656</t>
        </is>
      </c>
      <c r="AX750" t="inlineStr">
        <is>
          <t>991000329279702656</t>
        </is>
      </c>
      <c r="AY750" t="inlineStr">
        <is>
          <t>2267721000002656</t>
        </is>
      </c>
      <c r="AZ750" t="inlineStr">
        <is>
          <t>BOOK</t>
        </is>
      </c>
      <c r="BB750" t="inlineStr">
        <is>
          <t>9780122108402</t>
        </is>
      </c>
      <c r="BC750" t="inlineStr">
        <is>
          <t>32285001063675</t>
        </is>
      </c>
      <c r="BD750" t="inlineStr">
        <is>
          <t>893527967</t>
        </is>
      </c>
    </row>
    <row r="751">
      <c r="A751" t="inlineStr">
        <is>
          <t>No</t>
        </is>
      </c>
      <c r="B751" t="inlineStr">
        <is>
          <t>BF637.C45 D33 1976</t>
        </is>
      </c>
      <c r="C751" t="inlineStr">
        <is>
          <t>0                      BF 0637000C  45                 D  33          1976</t>
        </is>
      </c>
      <c r="D751" t="inlineStr">
        <is>
          <t>Interpersonal communication / Kurt Danziger.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Danziger, Kurt, 1926-</t>
        </is>
      </c>
      <c r="L751" t="inlineStr">
        <is>
          <t>New York : Pergamon Press, 1976.</t>
        </is>
      </c>
      <c r="M751" t="inlineStr">
        <is>
          <t>1976</t>
        </is>
      </c>
      <c r="N751" t="inlineStr">
        <is>
          <t>1st ed.</t>
        </is>
      </c>
      <c r="O751" t="inlineStr">
        <is>
          <t>eng</t>
        </is>
      </c>
      <c r="P751" t="inlineStr">
        <is>
          <t>nyu</t>
        </is>
      </c>
      <c r="Q751" t="inlineStr">
        <is>
          <t>Pergamon general psychology series ; 53</t>
        </is>
      </c>
      <c r="R751" t="inlineStr">
        <is>
          <t xml:space="preserve">BF </t>
        </is>
      </c>
      <c r="S751" t="n">
        <v>6</v>
      </c>
      <c r="T751" t="n">
        <v>6</v>
      </c>
      <c r="U751" t="inlineStr">
        <is>
          <t>1999-08-09</t>
        </is>
      </c>
      <c r="V751" t="inlineStr">
        <is>
          <t>1999-08-09</t>
        </is>
      </c>
      <c r="W751" t="inlineStr">
        <is>
          <t>1991-09-17</t>
        </is>
      </c>
      <c r="X751" t="inlineStr">
        <is>
          <t>1991-09-17</t>
        </is>
      </c>
      <c r="Y751" t="n">
        <v>449</v>
      </c>
      <c r="Z751" t="n">
        <v>270</v>
      </c>
      <c r="AA751" t="n">
        <v>311</v>
      </c>
      <c r="AB751" t="n">
        <v>3</v>
      </c>
      <c r="AC751" t="n">
        <v>4</v>
      </c>
      <c r="AD751" t="n">
        <v>14</v>
      </c>
      <c r="AE751" t="n">
        <v>18</v>
      </c>
      <c r="AF751" t="n">
        <v>5</v>
      </c>
      <c r="AG751" t="n">
        <v>7</v>
      </c>
      <c r="AH751" t="n">
        <v>4</v>
      </c>
      <c r="AI751" t="n">
        <v>6</v>
      </c>
      <c r="AJ751" t="n">
        <v>9</v>
      </c>
      <c r="AK751" t="n">
        <v>9</v>
      </c>
      <c r="AL751" t="n">
        <v>2</v>
      </c>
      <c r="AM751" t="n">
        <v>3</v>
      </c>
      <c r="AN751" t="n">
        <v>0</v>
      </c>
      <c r="AO751" t="n">
        <v>0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HYPERLINK("https://creighton-primo.hosted.exlibrisgroup.com/primo-explore/search?tab=default_tab&amp;search_scope=EVERYTHING&amp;vid=01CRU&amp;lang=en_US&amp;offset=0&amp;query=any,contains,991003538019702656","Catalog Record")</f>
        <v/>
      </c>
      <c r="AT751">
        <f>HYPERLINK("http://www.worldcat.org/oclc/1103178","WorldCat Record")</f>
        <v/>
      </c>
      <c r="AU751" t="inlineStr">
        <is>
          <t>407169:eng</t>
        </is>
      </c>
      <c r="AV751" t="inlineStr">
        <is>
          <t>1103178</t>
        </is>
      </c>
      <c r="AW751" t="inlineStr">
        <is>
          <t>991003538019702656</t>
        </is>
      </c>
      <c r="AX751" t="inlineStr">
        <is>
          <t>991003538019702656</t>
        </is>
      </c>
      <c r="AY751" t="inlineStr">
        <is>
          <t>2267383760002656</t>
        </is>
      </c>
      <c r="AZ751" t="inlineStr">
        <is>
          <t>BOOK</t>
        </is>
      </c>
      <c r="BB751" t="inlineStr">
        <is>
          <t>9780080187563</t>
        </is>
      </c>
      <c r="BC751" t="inlineStr">
        <is>
          <t>32285000756584</t>
        </is>
      </c>
      <c r="BD751" t="inlineStr">
        <is>
          <t>893881272</t>
        </is>
      </c>
    </row>
    <row r="752">
      <c r="A752" t="inlineStr">
        <is>
          <t>No</t>
        </is>
      </c>
      <c r="B752" t="inlineStr">
        <is>
          <t>BF637.C45 D58</t>
        </is>
      </c>
      <c r="C752" t="inlineStr">
        <is>
          <t>0                      BF 0637000C  45                 D  58</t>
        </is>
      </c>
      <c r="D752" t="inlineStr">
        <is>
          <t>Interpersonal messages of emotion / [by] Allen T. Dittmann.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Dittmann, Allen T.</t>
        </is>
      </c>
      <c r="L752" t="inlineStr">
        <is>
          <t>New York : Springer Pub. Co., [1972]</t>
        </is>
      </c>
      <c r="M752" t="inlineStr">
        <is>
          <t>1972</t>
        </is>
      </c>
      <c r="O752" t="inlineStr">
        <is>
          <t>eng</t>
        </is>
      </c>
      <c r="P752" t="inlineStr">
        <is>
          <t>nyu</t>
        </is>
      </c>
      <c r="R752" t="inlineStr">
        <is>
          <t xml:space="preserve">BF </t>
        </is>
      </c>
      <c r="S752" t="n">
        <v>4</v>
      </c>
      <c r="T752" t="n">
        <v>4</v>
      </c>
      <c r="U752" t="inlineStr">
        <is>
          <t>1996-10-07</t>
        </is>
      </c>
      <c r="V752" t="inlineStr">
        <is>
          <t>1996-10-07</t>
        </is>
      </c>
      <c r="W752" t="inlineStr">
        <is>
          <t>1991-09-17</t>
        </is>
      </c>
      <c r="X752" t="inlineStr">
        <is>
          <t>1991-09-17</t>
        </is>
      </c>
      <c r="Y752" t="n">
        <v>450</v>
      </c>
      <c r="Z752" t="n">
        <v>374</v>
      </c>
      <c r="AA752" t="n">
        <v>380</v>
      </c>
      <c r="AB752" t="n">
        <v>3</v>
      </c>
      <c r="AC752" t="n">
        <v>3</v>
      </c>
      <c r="AD752" t="n">
        <v>14</v>
      </c>
      <c r="AE752" t="n">
        <v>14</v>
      </c>
      <c r="AF752" t="n">
        <v>5</v>
      </c>
      <c r="AG752" t="n">
        <v>5</v>
      </c>
      <c r="AH752" t="n">
        <v>3</v>
      </c>
      <c r="AI752" t="n">
        <v>3</v>
      </c>
      <c r="AJ752" t="n">
        <v>8</v>
      </c>
      <c r="AK752" t="n">
        <v>8</v>
      </c>
      <c r="AL752" t="n">
        <v>2</v>
      </c>
      <c r="AM752" t="n">
        <v>2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HYPERLINK("http://catalog.hathitrust.org/Record/000383897","HathiTrust Record")</f>
        <v/>
      </c>
      <c r="AS752">
        <f>HYPERLINK("https://creighton-primo.hosted.exlibrisgroup.com/primo-explore/search?tab=default_tab&amp;search_scope=EVERYTHING&amp;vid=01CRU&amp;lang=en_US&amp;offset=0&amp;query=any,contains,991003024749702656","Catalog Record")</f>
        <v/>
      </c>
      <c r="AT752">
        <f>HYPERLINK("http://www.worldcat.org/oclc/589052","WorldCat Record")</f>
        <v/>
      </c>
      <c r="AU752" t="inlineStr">
        <is>
          <t>1764798:eng</t>
        </is>
      </c>
      <c r="AV752" t="inlineStr">
        <is>
          <t>589052</t>
        </is>
      </c>
      <c r="AW752" t="inlineStr">
        <is>
          <t>991003024749702656</t>
        </is>
      </c>
      <c r="AX752" t="inlineStr">
        <is>
          <t>991003024749702656</t>
        </is>
      </c>
      <c r="AY752" t="inlineStr">
        <is>
          <t>2259290630002656</t>
        </is>
      </c>
      <c r="AZ752" t="inlineStr">
        <is>
          <t>BOOK</t>
        </is>
      </c>
      <c r="BB752" t="inlineStr">
        <is>
          <t>9780826113405</t>
        </is>
      </c>
      <c r="BC752" t="inlineStr">
        <is>
          <t>32285000756592</t>
        </is>
      </c>
      <c r="BD752" t="inlineStr">
        <is>
          <t>893530777</t>
        </is>
      </c>
    </row>
    <row r="753">
      <c r="A753" t="inlineStr">
        <is>
          <t>No</t>
        </is>
      </c>
      <c r="B753" t="inlineStr">
        <is>
          <t>BF637.C45 D86</t>
        </is>
      </c>
      <c r="C753" t="inlineStr">
        <is>
          <t>0                      BF 0637000C  45                 D  86</t>
        </is>
      </c>
      <c r="D753" t="inlineStr">
        <is>
          <t>Face-to-face interaction : research, methods, and theory / Starkey Duncan, Jr., Donald W. Fiske.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Duncan, Starkey.</t>
        </is>
      </c>
      <c r="L753" t="inlineStr">
        <is>
          <t>Hillsdale, N.J. : L. Erlbaum Associates ; New York : distributed by Halsted Press, 1977.</t>
        </is>
      </c>
      <c r="M753" t="inlineStr">
        <is>
          <t>1977</t>
        </is>
      </c>
      <c r="O753" t="inlineStr">
        <is>
          <t>eng</t>
        </is>
      </c>
      <c r="P753" t="inlineStr">
        <is>
          <t>nju</t>
        </is>
      </c>
      <c r="R753" t="inlineStr">
        <is>
          <t xml:space="preserve">BF </t>
        </is>
      </c>
      <c r="S753" t="n">
        <v>3</v>
      </c>
      <c r="T753" t="n">
        <v>3</v>
      </c>
      <c r="U753" t="inlineStr">
        <is>
          <t>1997-02-21</t>
        </is>
      </c>
      <c r="V753" t="inlineStr">
        <is>
          <t>1997-02-21</t>
        </is>
      </c>
      <c r="W753" t="inlineStr">
        <is>
          <t>1993-11-08</t>
        </is>
      </c>
      <c r="X753" t="inlineStr">
        <is>
          <t>1993-11-08</t>
        </is>
      </c>
      <c r="Y753" t="n">
        <v>537</v>
      </c>
      <c r="Z753" t="n">
        <v>398</v>
      </c>
      <c r="AA753" t="n">
        <v>427</v>
      </c>
      <c r="AB753" t="n">
        <v>3</v>
      </c>
      <c r="AC753" t="n">
        <v>3</v>
      </c>
      <c r="AD753" t="n">
        <v>22</v>
      </c>
      <c r="AE753" t="n">
        <v>22</v>
      </c>
      <c r="AF753" t="n">
        <v>8</v>
      </c>
      <c r="AG753" t="n">
        <v>8</v>
      </c>
      <c r="AH753" t="n">
        <v>7</v>
      </c>
      <c r="AI753" t="n">
        <v>7</v>
      </c>
      <c r="AJ753" t="n">
        <v>11</v>
      </c>
      <c r="AK753" t="n">
        <v>11</v>
      </c>
      <c r="AL753" t="n">
        <v>2</v>
      </c>
      <c r="AM753" t="n">
        <v>2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HYPERLINK("http://catalog.hathitrust.org/Record/000689542","HathiTrust Record")</f>
        <v/>
      </c>
      <c r="AS753">
        <f>HYPERLINK("https://creighton-primo.hosted.exlibrisgroup.com/primo-explore/search?tab=default_tab&amp;search_scope=EVERYTHING&amp;vid=01CRU&amp;lang=en_US&amp;offset=0&amp;query=any,contains,991004244559702656","Catalog Record")</f>
        <v/>
      </c>
      <c r="AT753">
        <f>HYPERLINK("http://www.worldcat.org/oclc/2797933","WorldCat Record")</f>
        <v/>
      </c>
      <c r="AU753" t="inlineStr">
        <is>
          <t>6345611:eng</t>
        </is>
      </c>
      <c r="AV753" t="inlineStr">
        <is>
          <t>2797933</t>
        </is>
      </c>
      <c r="AW753" t="inlineStr">
        <is>
          <t>991004244559702656</t>
        </is>
      </c>
      <c r="AX753" t="inlineStr">
        <is>
          <t>991004244559702656</t>
        </is>
      </c>
      <c r="AY753" t="inlineStr">
        <is>
          <t>2266144110002656</t>
        </is>
      </c>
      <c r="AZ753" t="inlineStr">
        <is>
          <t>BOOK</t>
        </is>
      </c>
      <c r="BB753" t="inlineStr">
        <is>
          <t>9780470991138</t>
        </is>
      </c>
      <c r="BC753" t="inlineStr">
        <is>
          <t>32285001796902</t>
        </is>
      </c>
      <c r="BD753" t="inlineStr">
        <is>
          <t>893875859</t>
        </is>
      </c>
    </row>
    <row r="754">
      <c r="A754" t="inlineStr">
        <is>
          <t>No</t>
        </is>
      </c>
      <c r="B754" t="inlineStr">
        <is>
          <t>BF637.C45 E94 1976</t>
        </is>
      </c>
      <c r="C754" t="inlineStr">
        <is>
          <t>0                      BF 0637000C  45                 E  94          1976</t>
        </is>
      </c>
      <c r="D754" t="inlineStr">
        <is>
          <t>Explorations in interpersonal communication / Gerald R. Miller, editor.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L754" t="inlineStr">
        <is>
          <t>Beverly Hills, Calif. : Sage Publications, c1976.</t>
        </is>
      </c>
      <c r="M754" t="inlineStr">
        <is>
          <t>1976</t>
        </is>
      </c>
      <c r="O754" t="inlineStr">
        <is>
          <t>eng</t>
        </is>
      </c>
      <c r="P754" t="inlineStr">
        <is>
          <t>cau</t>
        </is>
      </c>
      <c r="Q754" t="inlineStr">
        <is>
          <t>Sage annual reviews of communication research ; v. 5</t>
        </is>
      </c>
      <c r="R754" t="inlineStr">
        <is>
          <t xml:space="preserve">BF </t>
        </is>
      </c>
      <c r="S754" t="n">
        <v>6</v>
      </c>
      <c r="T754" t="n">
        <v>6</v>
      </c>
      <c r="U754" t="inlineStr">
        <is>
          <t>2002-11-18</t>
        </is>
      </c>
      <c r="V754" t="inlineStr">
        <is>
          <t>2002-11-18</t>
        </is>
      </c>
      <c r="W754" t="inlineStr">
        <is>
          <t>1990-05-01</t>
        </is>
      </c>
      <c r="X754" t="inlineStr">
        <is>
          <t>1990-05-01</t>
        </is>
      </c>
      <c r="Y754" t="n">
        <v>594</v>
      </c>
      <c r="Z754" t="n">
        <v>450</v>
      </c>
      <c r="AA754" t="n">
        <v>451</v>
      </c>
      <c r="AB754" t="n">
        <v>6</v>
      </c>
      <c r="AC754" t="n">
        <v>6</v>
      </c>
      <c r="AD754" t="n">
        <v>26</v>
      </c>
      <c r="AE754" t="n">
        <v>26</v>
      </c>
      <c r="AF754" t="n">
        <v>11</v>
      </c>
      <c r="AG754" t="n">
        <v>11</v>
      </c>
      <c r="AH754" t="n">
        <v>5</v>
      </c>
      <c r="AI754" t="n">
        <v>5</v>
      </c>
      <c r="AJ754" t="n">
        <v>13</v>
      </c>
      <c r="AK754" t="n">
        <v>13</v>
      </c>
      <c r="AL754" t="n">
        <v>4</v>
      </c>
      <c r="AM754" t="n">
        <v>4</v>
      </c>
      <c r="AN754" t="n">
        <v>0</v>
      </c>
      <c r="AO754" t="n">
        <v>0</v>
      </c>
      <c r="AP754" t="inlineStr">
        <is>
          <t>No</t>
        </is>
      </c>
      <c r="AQ754" t="inlineStr">
        <is>
          <t>No</t>
        </is>
      </c>
      <c r="AS754">
        <f>HYPERLINK("https://creighton-primo.hosted.exlibrisgroup.com/primo-explore/search?tab=default_tab&amp;search_scope=EVERYTHING&amp;vid=01CRU&amp;lang=en_US&amp;offset=0&amp;query=any,contains,991004302769702656","Catalog Record")</f>
        <v/>
      </c>
      <c r="AT754">
        <f>HYPERLINK("http://www.worldcat.org/oclc/2971288","WorldCat Record")</f>
        <v/>
      </c>
      <c r="AU754" t="inlineStr">
        <is>
          <t>54162183:eng</t>
        </is>
      </c>
      <c r="AV754" t="inlineStr">
        <is>
          <t>2971288</t>
        </is>
      </c>
      <c r="AW754" t="inlineStr">
        <is>
          <t>991004302769702656</t>
        </is>
      </c>
      <c r="AX754" t="inlineStr">
        <is>
          <t>991004302769702656</t>
        </is>
      </c>
      <c r="AY754" t="inlineStr">
        <is>
          <t>2255030370002656</t>
        </is>
      </c>
      <c r="AZ754" t="inlineStr">
        <is>
          <t>BOOK</t>
        </is>
      </c>
      <c r="BB754" t="inlineStr">
        <is>
          <t>9780803906655</t>
        </is>
      </c>
      <c r="BC754" t="inlineStr">
        <is>
          <t>32285000129352</t>
        </is>
      </c>
      <c r="BD754" t="inlineStr">
        <is>
          <t>893253526</t>
        </is>
      </c>
    </row>
    <row r="755">
      <c r="A755" t="inlineStr">
        <is>
          <t>No</t>
        </is>
      </c>
      <c r="B755" t="inlineStr">
        <is>
          <t>BF637.C45 F86</t>
        </is>
      </c>
      <c r="C755" t="inlineStr">
        <is>
          <t>0                      BF 0637000C  45                 F  86</t>
        </is>
      </c>
      <c r="D755" t="inlineStr">
        <is>
          <t>Fundamental concepts in human communication / [by] Ronald L. Applbaum [and others]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L755" t="inlineStr">
        <is>
          <t>San Francisco : Canfield Press, [1973]</t>
        </is>
      </c>
      <c r="M755" t="inlineStr">
        <is>
          <t>1973</t>
        </is>
      </c>
      <c r="O755" t="inlineStr">
        <is>
          <t>eng</t>
        </is>
      </c>
      <c r="P755" t="inlineStr">
        <is>
          <t>cau</t>
        </is>
      </c>
      <c r="R755" t="inlineStr">
        <is>
          <t xml:space="preserve">BF </t>
        </is>
      </c>
      <c r="S755" t="n">
        <v>12</v>
      </c>
      <c r="T755" t="n">
        <v>12</v>
      </c>
      <c r="U755" t="inlineStr">
        <is>
          <t>2007-02-24</t>
        </is>
      </c>
      <c r="V755" t="inlineStr">
        <is>
          <t>2007-02-24</t>
        </is>
      </c>
      <c r="W755" t="inlineStr">
        <is>
          <t>1993-04-01</t>
        </is>
      </c>
      <c r="X755" t="inlineStr">
        <is>
          <t>1993-04-01</t>
        </is>
      </c>
      <c r="Y755" t="n">
        <v>238</v>
      </c>
      <c r="Z755" t="n">
        <v>206</v>
      </c>
      <c r="AA755" t="n">
        <v>225</v>
      </c>
      <c r="AB755" t="n">
        <v>3</v>
      </c>
      <c r="AC755" t="n">
        <v>3</v>
      </c>
      <c r="AD755" t="n">
        <v>7</v>
      </c>
      <c r="AE755" t="n">
        <v>8</v>
      </c>
      <c r="AF755" t="n">
        <v>2</v>
      </c>
      <c r="AG755" t="n">
        <v>2</v>
      </c>
      <c r="AH755" t="n">
        <v>2</v>
      </c>
      <c r="AI755" t="n">
        <v>2</v>
      </c>
      <c r="AJ755" t="n">
        <v>3</v>
      </c>
      <c r="AK755" t="n">
        <v>4</v>
      </c>
      <c r="AL755" t="n">
        <v>2</v>
      </c>
      <c r="AM755" t="n">
        <v>2</v>
      </c>
      <c r="AN755" t="n">
        <v>0</v>
      </c>
      <c r="AO755" t="n">
        <v>0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HYPERLINK("https://creighton-primo.hosted.exlibrisgroup.com/primo-explore/search?tab=default_tab&amp;search_scope=EVERYTHING&amp;vid=01CRU&amp;lang=en_US&amp;offset=0&amp;query=any,contains,991003115899702656","Catalog Record")</f>
        <v/>
      </c>
      <c r="AT755">
        <f>HYPERLINK("http://www.worldcat.org/oclc/661574","WorldCat Record")</f>
        <v/>
      </c>
      <c r="AU755" t="inlineStr">
        <is>
          <t>53996130:eng</t>
        </is>
      </c>
      <c r="AV755" t="inlineStr">
        <is>
          <t>661574</t>
        </is>
      </c>
      <c r="AW755" t="inlineStr">
        <is>
          <t>991003115899702656</t>
        </is>
      </c>
      <c r="AX755" t="inlineStr">
        <is>
          <t>991003115899702656</t>
        </is>
      </c>
      <c r="AY755" t="inlineStr">
        <is>
          <t>2268821850002656</t>
        </is>
      </c>
      <c r="AZ755" t="inlineStr">
        <is>
          <t>BOOK</t>
        </is>
      </c>
      <c r="BB755" t="inlineStr">
        <is>
          <t>9780063804128</t>
        </is>
      </c>
      <c r="BC755" t="inlineStr">
        <is>
          <t>32285001598100</t>
        </is>
      </c>
      <c r="BD755" t="inlineStr">
        <is>
          <t>893887150</t>
        </is>
      </c>
    </row>
    <row r="756">
      <c r="A756" t="inlineStr">
        <is>
          <t>No</t>
        </is>
      </c>
      <c r="B756" t="inlineStr">
        <is>
          <t>BF637.C45 G53</t>
        </is>
      </c>
      <c r="C756" t="inlineStr">
        <is>
          <t>0                      BF 0637000C  45                 G  53</t>
        </is>
      </c>
      <c r="D756" t="inlineStr">
        <is>
          <t>Personal communication in human relations [by] Kim Giffin [and] Bobby R. Patton.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Giffin, Kim, 1918-1996.</t>
        </is>
      </c>
      <c r="L756" t="inlineStr">
        <is>
          <t>Columbus, Ohio, Merrill [1974]</t>
        </is>
      </c>
      <c r="M756" t="inlineStr">
        <is>
          <t>1974</t>
        </is>
      </c>
      <c r="O756" t="inlineStr">
        <is>
          <t>eng</t>
        </is>
      </c>
      <c r="P756" t="inlineStr">
        <is>
          <t>ohu</t>
        </is>
      </c>
      <c r="Q756" t="inlineStr">
        <is>
          <t>Studies of the person</t>
        </is>
      </c>
      <c r="R756" t="inlineStr">
        <is>
          <t xml:space="preserve">BF </t>
        </is>
      </c>
      <c r="S756" t="n">
        <v>5</v>
      </c>
      <c r="T756" t="n">
        <v>5</v>
      </c>
      <c r="U756" t="inlineStr">
        <is>
          <t>1998-04-15</t>
        </is>
      </c>
      <c r="V756" t="inlineStr">
        <is>
          <t>1998-04-15</t>
        </is>
      </c>
      <c r="W756" t="inlineStr">
        <is>
          <t>1996-08-01</t>
        </is>
      </c>
      <c r="X756" t="inlineStr">
        <is>
          <t>1996-08-01</t>
        </is>
      </c>
      <c r="Y756" t="n">
        <v>239</v>
      </c>
      <c r="Z756" t="n">
        <v>201</v>
      </c>
      <c r="AA756" t="n">
        <v>206</v>
      </c>
      <c r="AB756" t="n">
        <v>3</v>
      </c>
      <c r="AC756" t="n">
        <v>3</v>
      </c>
      <c r="AD756" t="n">
        <v>9</v>
      </c>
      <c r="AE756" t="n">
        <v>9</v>
      </c>
      <c r="AF756" t="n">
        <v>3</v>
      </c>
      <c r="AG756" t="n">
        <v>3</v>
      </c>
      <c r="AH756" t="n">
        <v>2</v>
      </c>
      <c r="AI756" t="n">
        <v>2</v>
      </c>
      <c r="AJ756" t="n">
        <v>3</v>
      </c>
      <c r="AK756" t="n">
        <v>3</v>
      </c>
      <c r="AL756" t="n">
        <v>2</v>
      </c>
      <c r="AM756" t="n">
        <v>2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HYPERLINK("https://creighton-primo.hosted.exlibrisgroup.com/primo-explore/search?tab=default_tab&amp;search_scope=EVERYTHING&amp;vid=01CRU&amp;lang=en_US&amp;offset=0&amp;query=any,contains,991003379609702656","Catalog Record")</f>
        <v/>
      </c>
      <c r="AT756">
        <f>HYPERLINK("http://www.worldcat.org/oclc/915757","WorldCat Record")</f>
        <v/>
      </c>
      <c r="AU756" t="inlineStr">
        <is>
          <t>1857311:eng</t>
        </is>
      </c>
      <c r="AV756" t="inlineStr">
        <is>
          <t>915757</t>
        </is>
      </c>
      <c r="AW756" t="inlineStr">
        <is>
          <t>991003379609702656</t>
        </is>
      </c>
      <c r="AX756" t="inlineStr">
        <is>
          <t>991003379609702656</t>
        </is>
      </c>
      <c r="AY756" t="inlineStr">
        <is>
          <t>2264756000002656</t>
        </is>
      </c>
      <c r="AZ756" t="inlineStr">
        <is>
          <t>BOOK</t>
        </is>
      </c>
      <c r="BB756" t="inlineStr">
        <is>
          <t>9780675088190</t>
        </is>
      </c>
      <c r="BC756" t="inlineStr">
        <is>
          <t>32285002251832</t>
        </is>
      </c>
      <c r="BD756" t="inlineStr">
        <is>
          <t>893711327</t>
        </is>
      </c>
    </row>
    <row r="757">
      <c r="A757" t="inlineStr">
        <is>
          <t>No</t>
        </is>
      </c>
      <c r="B757" t="inlineStr">
        <is>
          <t>BF637.C45 H29 1982</t>
        </is>
      </c>
      <c r="C757" t="inlineStr">
        <is>
          <t>0                      BF 0637000C  45                 H  29          1982</t>
        </is>
      </c>
      <c r="D757" t="inlineStr">
        <is>
          <t>Handbook of methods in nonverbal behavior research / edited by Klaus R. Scherer and Paul Ekman.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Cambridge [Cambridgeshire] ; New York : Cambridge University Press ; Paris : Editions de la Maison des Sciences de l'Homme, 1982.</t>
        </is>
      </c>
      <c r="M757" t="inlineStr">
        <is>
          <t>1982</t>
        </is>
      </c>
      <c r="O757" t="inlineStr">
        <is>
          <t>eng</t>
        </is>
      </c>
      <c r="P757" t="inlineStr">
        <is>
          <t>enk</t>
        </is>
      </c>
      <c r="Q757" t="inlineStr">
        <is>
          <t>Studies in emotion and social interaction</t>
        </is>
      </c>
      <c r="R757" t="inlineStr">
        <is>
          <t xml:space="preserve">BF </t>
        </is>
      </c>
      <c r="S757" t="n">
        <v>4</v>
      </c>
      <c r="T757" t="n">
        <v>4</v>
      </c>
      <c r="U757" t="inlineStr">
        <is>
          <t>1996-11-30</t>
        </is>
      </c>
      <c r="V757" t="inlineStr">
        <is>
          <t>1996-11-30</t>
        </is>
      </c>
      <c r="W757" t="inlineStr">
        <is>
          <t>1992-11-24</t>
        </is>
      </c>
      <c r="X757" t="inlineStr">
        <is>
          <t>1992-11-24</t>
        </is>
      </c>
      <c r="Y757" t="n">
        <v>732</v>
      </c>
      <c r="Z757" t="n">
        <v>554</v>
      </c>
      <c r="AA757" t="n">
        <v>559</v>
      </c>
      <c r="AB757" t="n">
        <v>3</v>
      </c>
      <c r="AC757" t="n">
        <v>3</v>
      </c>
      <c r="AD757" t="n">
        <v>31</v>
      </c>
      <c r="AE757" t="n">
        <v>31</v>
      </c>
      <c r="AF757" t="n">
        <v>17</v>
      </c>
      <c r="AG757" t="n">
        <v>17</v>
      </c>
      <c r="AH757" t="n">
        <v>6</v>
      </c>
      <c r="AI757" t="n">
        <v>6</v>
      </c>
      <c r="AJ757" t="n">
        <v>15</v>
      </c>
      <c r="AK757" t="n">
        <v>15</v>
      </c>
      <c r="AL757" t="n">
        <v>2</v>
      </c>
      <c r="AM757" t="n">
        <v>2</v>
      </c>
      <c r="AN757" t="n">
        <v>0</v>
      </c>
      <c r="AO757" t="n">
        <v>0</v>
      </c>
      <c r="AP757" t="inlineStr">
        <is>
          <t>No</t>
        </is>
      </c>
      <c r="AQ757" t="inlineStr">
        <is>
          <t>No</t>
        </is>
      </c>
      <c r="AS757">
        <f>HYPERLINK("https://creighton-primo.hosted.exlibrisgroup.com/primo-explore/search?tab=default_tab&amp;search_scope=EVERYTHING&amp;vid=01CRU&amp;lang=en_US&amp;offset=0&amp;query=any,contains,991005126079702656","Catalog Record")</f>
        <v/>
      </c>
      <c r="AT757">
        <f>HYPERLINK("http://www.worldcat.org/oclc/7553663","WorldCat Record")</f>
        <v/>
      </c>
      <c r="AU757" t="inlineStr">
        <is>
          <t>3863805375:eng</t>
        </is>
      </c>
      <c r="AV757" t="inlineStr">
        <is>
          <t>7553663</t>
        </is>
      </c>
      <c r="AW757" t="inlineStr">
        <is>
          <t>991005126079702656</t>
        </is>
      </c>
      <c r="AX757" t="inlineStr">
        <is>
          <t>991005126079702656</t>
        </is>
      </c>
      <c r="AY757" t="inlineStr">
        <is>
          <t>2262606020002656</t>
        </is>
      </c>
      <c r="AZ757" t="inlineStr">
        <is>
          <t>BOOK</t>
        </is>
      </c>
      <c r="BB757" t="inlineStr">
        <is>
          <t>9780521236140</t>
        </is>
      </c>
      <c r="BC757" t="inlineStr">
        <is>
          <t>32285001409654</t>
        </is>
      </c>
      <c r="BD757" t="inlineStr">
        <is>
          <t>893713480</t>
        </is>
      </c>
    </row>
    <row r="758">
      <c r="A758" t="inlineStr">
        <is>
          <t>No</t>
        </is>
      </c>
      <c r="B758" t="inlineStr">
        <is>
          <t>BF637.C45 H34</t>
        </is>
      </c>
      <c r="C758" t="inlineStr">
        <is>
          <t>0                      BF 0637000C  45                 H  34</t>
        </is>
      </c>
      <c r="D758" t="inlineStr">
        <is>
          <t>Beyond words : an introduction to nonverbal communication.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Harrison, Randall, 1929-</t>
        </is>
      </c>
      <c r="L758" t="inlineStr">
        <is>
          <t>Englewood Cliffs, N.J. : Prentice-Hall, [1974]</t>
        </is>
      </c>
      <c r="M758" t="inlineStr">
        <is>
          <t>1974</t>
        </is>
      </c>
      <c r="O758" t="inlineStr">
        <is>
          <t>eng</t>
        </is>
      </c>
      <c r="P758" t="inlineStr">
        <is>
          <t>nju</t>
        </is>
      </c>
      <c r="Q758" t="inlineStr">
        <is>
          <t>Prentice-Hall series in speech communication</t>
        </is>
      </c>
      <c r="R758" t="inlineStr">
        <is>
          <t xml:space="preserve">BF </t>
        </is>
      </c>
      <c r="S758" t="n">
        <v>21</v>
      </c>
      <c r="T758" t="n">
        <v>21</v>
      </c>
      <c r="U758" t="inlineStr">
        <is>
          <t>2010-11-02</t>
        </is>
      </c>
      <c r="V758" t="inlineStr">
        <is>
          <t>2010-11-02</t>
        </is>
      </c>
      <c r="W758" t="inlineStr">
        <is>
          <t>1990-10-26</t>
        </is>
      </c>
      <c r="X758" t="inlineStr">
        <is>
          <t>1990-10-26</t>
        </is>
      </c>
      <c r="Y758" t="n">
        <v>751</v>
      </c>
      <c r="Z758" t="n">
        <v>633</v>
      </c>
      <c r="AA758" t="n">
        <v>640</v>
      </c>
      <c r="AB758" t="n">
        <v>8</v>
      </c>
      <c r="AC758" t="n">
        <v>8</v>
      </c>
      <c r="AD758" t="n">
        <v>20</v>
      </c>
      <c r="AE758" t="n">
        <v>20</v>
      </c>
      <c r="AF758" t="n">
        <v>7</v>
      </c>
      <c r="AG758" t="n">
        <v>7</v>
      </c>
      <c r="AH758" t="n">
        <v>4</v>
      </c>
      <c r="AI758" t="n">
        <v>4</v>
      </c>
      <c r="AJ758" t="n">
        <v>8</v>
      </c>
      <c r="AK758" t="n">
        <v>8</v>
      </c>
      <c r="AL758" t="n">
        <v>5</v>
      </c>
      <c r="AM758" t="n">
        <v>5</v>
      </c>
      <c r="AN758" t="n">
        <v>0</v>
      </c>
      <c r="AO758" t="n">
        <v>0</v>
      </c>
      <c r="AP758" t="inlineStr">
        <is>
          <t>No</t>
        </is>
      </c>
      <c r="AQ758" t="inlineStr">
        <is>
          <t>Yes</t>
        </is>
      </c>
      <c r="AR758">
        <f>HYPERLINK("http://catalog.hathitrust.org/Record/000387418","HathiTrust Record")</f>
        <v/>
      </c>
      <c r="AS758">
        <f>HYPERLINK("https://creighton-primo.hosted.exlibrisgroup.com/primo-explore/search?tab=default_tab&amp;search_scope=EVERYTHING&amp;vid=01CRU&amp;lang=en_US&amp;offset=0&amp;query=any,contains,991003200219702656","Catalog Record")</f>
        <v/>
      </c>
      <c r="AT758">
        <f>HYPERLINK("http://www.worldcat.org/oclc/724307","WorldCat Record")</f>
        <v/>
      </c>
      <c r="AU758" t="inlineStr">
        <is>
          <t>310461034:eng</t>
        </is>
      </c>
      <c r="AV758" t="inlineStr">
        <is>
          <t>724307</t>
        </is>
      </c>
      <c r="AW758" t="inlineStr">
        <is>
          <t>991003200219702656</t>
        </is>
      </c>
      <c r="AX758" t="inlineStr">
        <is>
          <t>991003200219702656</t>
        </is>
      </c>
      <c r="AY758" t="inlineStr">
        <is>
          <t>2255054160002656</t>
        </is>
      </c>
      <c r="AZ758" t="inlineStr">
        <is>
          <t>BOOK</t>
        </is>
      </c>
      <c r="BB758" t="inlineStr">
        <is>
          <t>9780130761415</t>
        </is>
      </c>
      <c r="BC758" t="inlineStr">
        <is>
          <t>32285000353580</t>
        </is>
      </c>
      <c r="BD758" t="inlineStr">
        <is>
          <t>893717407</t>
        </is>
      </c>
    </row>
    <row r="759">
      <c r="A759" t="inlineStr">
        <is>
          <t>No</t>
        </is>
      </c>
      <c r="B759" t="inlineStr">
        <is>
          <t>BF637.C45 I52 1989</t>
        </is>
      </c>
      <c r="C759" t="inlineStr">
        <is>
          <t>0                      BF 0637000C  45                 I  52          1989</t>
        </is>
      </c>
      <c r="D759" t="inlineStr">
        <is>
          <t>The Individual, communication, and society : essays in memory of Gregory Bateson / edited by Robert W. Rieber.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L759" t="inlineStr">
        <is>
          <t>Cambridge [England] ; New York : Cambridge University Press ; Paris : Editions de la Maison des sciences de l'homme, 1989.</t>
        </is>
      </c>
      <c r="M759" t="inlineStr">
        <is>
          <t>1989</t>
        </is>
      </c>
      <c r="O759" t="inlineStr">
        <is>
          <t>eng</t>
        </is>
      </c>
      <c r="P759" t="inlineStr">
        <is>
          <t>enk</t>
        </is>
      </c>
      <c r="Q759" t="inlineStr">
        <is>
          <t>Studies in emotion and social interaction</t>
        </is>
      </c>
      <c r="R759" t="inlineStr">
        <is>
          <t xml:space="preserve">BF </t>
        </is>
      </c>
      <c r="S759" t="n">
        <v>5</v>
      </c>
      <c r="T759" t="n">
        <v>5</v>
      </c>
      <c r="U759" t="inlineStr">
        <is>
          <t>2008-12-02</t>
        </is>
      </c>
      <c r="V759" t="inlineStr">
        <is>
          <t>2008-12-02</t>
        </is>
      </c>
      <c r="W759" t="inlineStr">
        <is>
          <t>1991-09-17</t>
        </is>
      </c>
      <c r="X759" t="inlineStr">
        <is>
          <t>1991-09-17</t>
        </is>
      </c>
      <c r="Y759" t="n">
        <v>468</v>
      </c>
      <c r="Z759" t="n">
        <v>347</v>
      </c>
      <c r="AA759" t="n">
        <v>350</v>
      </c>
      <c r="AB759" t="n">
        <v>3</v>
      </c>
      <c r="AC759" t="n">
        <v>3</v>
      </c>
      <c r="AD759" t="n">
        <v>19</v>
      </c>
      <c r="AE759" t="n">
        <v>19</v>
      </c>
      <c r="AF759" t="n">
        <v>4</v>
      </c>
      <c r="AG759" t="n">
        <v>4</v>
      </c>
      <c r="AH759" t="n">
        <v>7</v>
      </c>
      <c r="AI759" t="n">
        <v>7</v>
      </c>
      <c r="AJ759" t="n">
        <v>11</v>
      </c>
      <c r="AK759" t="n">
        <v>11</v>
      </c>
      <c r="AL759" t="n">
        <v>2</v>
      </c>
      <c r="AM759" t="n">
        <v>2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HYPERLINK("https://creighton-primo.hosted.exlibrisgroup.com/primo-explore/search?tab=default_tab&amp;search_scope=EVERYTHING&amp;vid=01CRU&amp;lang=en_US&amp;offset=0&amp;query=any,contains,991001486689702656","Catalog Record")</f>
        <v/>
      </c>
      <c r="AT759">
        <f>HYPERLINK("http://www.worldcat.org/oclc/19670020","WorldCat Record")</f>
        <v/>
      </c>
      <c r="AU759" t="inlineStr">
        <is>
          <t>836898924:eng</t>
        </is>
      </c>
      <c r="AV759" t="inlineStr">
        <is>
          <t>19670020</t>
        </is>
      </c>
      <c r="AW759" t="inlineStr">
        <is>
          <t>991001486689702656</t>
        </is>
      </c>
      <c r="AX759" t="inlineStr">
        <is>
          <t>991001486689702656</t>
        </is>
      </c>
      <c r="AY759" t="inlineStr">
        <is>
          <t>2266254530002656</t>
        </is>
      </c>
      <c r="AZ759" t="inlineStr">
        <is>
          <t>BOOK</t>
        </is>
      </c>
      <c r="BB759" t="inlineStr">
        <is>
          <t>9780521267410</t>
        </is>
      </c>
      <c r="BC759" t="inlineStr">
        <is>
          <t>32285000703875</t>
        </is>
      </c>
      <c r="BD759" t="inlineStr">
        <is>
          <t>893621418</t>
        </is>
      </c>
    </row>
    <row r="760">
      <c r="A760" t="inlineStr">
        <is>
          <t>No</t>
        </is>
      </c>
      <c r="B760" t="inlineStr">
        <is>
          <t>BF637.C45 I65 1987</t>
        </is>
      </c>
      <c r="C760" t="inlineStr">
        <is>
          <t>0                      BF 0637000C  45                 I  65          1987</t>
        </is>
      </c>
      <c r="D760" t="inlineStr">
        <is>
          <t>Interpersonal processes : new directions in communication research / Michael E. Roloff and Gerald R. Miller, editors.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L760" t="inlineStr">
        <is>
          <t>Newbury Park, Calif. : Sage Publications, c1987.</t>
        </is>
      </c>
      <c r="M760" t="inlineStr">
        <is>
          <t>1987</t>
        </is>
      </c>
      <c r="O760" t="inlineStr">
        <is>
          <t>eng</t>
        </is>
      </c>
      <c r="P760" t="inlineStr">
        <is>
          <t>cau</t>
        </is>
      </c>
      <c r="Q760" t="inlineStr">
        <is>
          <t>Sage annual reviews of communication research ; v. 14</t>
        </is>
      </c>
      <c r="R760" t="inlineStr">
        <is>
          <t xml:space="preserve">BF </t>
        </is>
      </c>
      <c r="S760" t="n">
        <v>9</v>
      </c>
      <c r="T760" t="n">
        <v>9</v>
      </c>
      <c r="U760" t="inlineStr">
        <is>
          <t>2002-11-15</t>
        </is>
      </c>
      <c r="V760" t="inlineStr">
        <is>
          <t>2002-11-15</t>
        </is>
      </c>
      <c r="W760" t="inlineStr">
        <is>
          <t>1992-11-24</t>
        </is>
      </c>
      <c r="X760" t="inlineStr">
        <is>
          <t>1992-11-24</t>
        </is>
      </c>
      <c r="Y760" t="n">
        <v>500</v>
      </c>
      <c r="Z760" t="n">
        <v>370</v>
      </c>
      <c r="AA760" t="n">
        <v>379</v>
      </c>
      <c r="AB760" t="n">
        <v>4</v>
      </c>
      <c r="AC760" t="n">
        <v>4</v>
      </c>
      <c r="AD760" t="n">
        <v>25</v>
      </c>
      <c r="AE760" t="n">
        <v>25</v>
      </c>
      <c r="AF760" t="n">
        <v>10</v>
      </c>
      <c r="AG760" t="n">
        <v>10</v>
      </c>
      <c r="AH760" t="n">
        <v>5</v>
      </c>
      <c r="AI760" t="n">
        <v>5</v>
      </c>
      <c r="AJ760" t="n">
        <v>11</v>
      </c>
      <c r="AK760" t="n">
        <v>11</v>
      </c>
      <c r="AL760" t="n">
        <v>3</v>
      </c>
      <c r="AM760" t="n">
        <v>3</v>
      </c>
      <c r="AN760" t="n">
        <v>1</v>
      </c>
      <c r="AO760" t="n">
        <v>1</v>
      </c>
      <c r="AP760" t="inlineStr">
        <is>
          <t>No</t>
        </is>
      </c>
      <c r="AQ760" t="inlineStr">
        <is>
          <t>Yes</t>
        </is>
      </c>
      <c r="AR760">
        <f>HYPERLINK("http://catalog.hathitrust.org/Record/000876149","HathiTrust Record")</f>
        <v/>
      </c>
      <c r="AS760">
        <f>HYPERLINK("https://creighton-primo.hosted.exlibrisgroup.com/primo-explore/search?tab=default_tab&amp;search_scope=EVERYTHING&amp;vid=01CRU&amp;lang=en_US&amp;offset=0&amp;query=any,contains,991001038789702656","Catalog Record")</f>
        <v/>
      </c>
      <c r="AT760">
        <f>HYPERLINK("http://www.worldcat.org/oclc/15551716","WorldCat Record")</f>
        <v/>
      </c>
      <c r="AU760" t="inlineStr">
        <is>
          <t>836719514:eng</t>
        </is>
      </c>
      <c r="AV760" t="inlineStr">
        <is>
          <t>15551716</t>
        </is>
      </c>
      <c r="AW760" t="inlineStr">
        <is>
          <t>991001038789702656</t>
        </is>
      </c>
      <c r="AX760" t="inlineStr">
        <is>
          <t>991001038789702656</t>
        </is>
      </c>
      <c r="AY760" t="inlineStr">
        <is>
          <t>2258961970002656</t>
        </is>
      </c>
      <c r="AZ760" t="inlineStr">
        <is>
          <t>BOOK</t>
        </is>
      </c>
      <c r="BB760" t="inlineStr">
        <is>
          <t>9780803926554</t>
        </is>
      </c>
      <c r="BC760" t="inlineStr">
        <is>
          <t>32285001409803</t>
        </is>
      </c>
      <c r="BD760" t="inlineStr">
        <is>
          <t>893413902</t>
        </is>
      </c>
    </row>
    <row r="761">
      <c r="A761" t="inlineStr">
        <is>
          <t>No</t>
        </is>
      </c>
      <c r="B761" t="inlineStr">
        <is>
          <t>BF637.C45 M48</t>
        </is>
      </c>
      <c r="C761" t="inlineStr">
        <is>
          <t>0                      BF 0637000C  45                 M  48</t>
        </is>
      </c>
      <c r="D761" t="inlineStr">
        <is>
          <t>Message-attitude-behavior relationship : theory, methodology, and application / [edited] by Donald P. Cushman, Robert McPhee.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L761" t="inlineStr">
        <is>
          <t>New York : Academic Press, 1980.</t>
        </is>
      </c>
      <c r="M761" t="inlineStr">
        <is>
          <t>1980</t>
        </is>
      </c>
      <c r="O761" t="inlineStr">
        <is>
          <t>eng</t>
        </is>
      </c>
      <c r="P761" t="inlineStr">
        <is>
          <t>nyu</t>
        </is>
      </c>
      <c r="Q761" t="inlineStr">
        <is>
          <t>Human communication research series</t>
        </is>
      </c>
      <c r="R761" t="inlineStr">
        <is>
          <t xml:space="preserve">BF </t>
        </is>
      </c>
      <c r="S761" t="n">
        <v>10</v>
      </c>
      <c r="T761" t="n">
        <v>10</v>
      </c>
      <c r="U761" t="inlineStr">
        <is>
          <t>2004-03-12</t>
        </is>
      </c>
      <c r="V761" t="inlineStr">
        <is>
          <t>2004-03-12</t>
        </is>
      </c>
      <c r="W761" t="inlineStr">
        <is>
          <t>1993-04-01</t>
        </is>
      </c>
      <c r="X761" t="inlineStr">
        <is>
          <t>1993-04-01</t>
        </is>
      </c>
      <c r="Y761" t="n">
        <v>386</v>
      </c>
      <c r="Z761" t="n">
        <v>297</v>
      </c>
      <c r="AA761" t="n">
        <v>330</v>
      </c>
      <c r="AB761" t="n">
        <v>3</v>
      </c>
      <c r="AC761" t="n">
        <v>4</v>
      </c>
      <c r="AD761" t="n">
        <v>14</v>
      </c>
      <c r="AE761" t="n">
        <v>18</v>
      </c>
      <c r="AF761" t="n">
        <v>5</v>
      </c>
      <c r="AG761" t="n">
        <v>7</v>
      </c>
      <c r="AH761" t="n">
        <v>3</v>
      </c>
      <c r="AI761" t="n">
        <v>5</v>
      </c>
      <c r="AJ761" t="n">
        <v>8</v>
      </c>
      <c r="AK761" t="n">
        <v>8</v>
      </c>
      <c r="AL761" t="n">
        <v>2</v>
      </c>
      <c r="AM761" t="n">
        <v>3</v>
      </c>
      <c r="AN761" t="n">
        <v>0</v>
      </c>
      <c r="AO761" t="n">
        <v>0</v>
      </c>
      <c r="AP761" t="inlineStr">
        <is>
          <t>No</t>
        </is>
      </c>
      <c r="AQ761" t="inlineStr">
        <is>
          <t>Yes</t>
        </is>
      </c>
      <c r="AR761">
        <f>HYPERLINK("http://catalog.hathitrust.org/Record/000737073","HathiTrust Record")</f>
        <v/>
      </c>
      <c r="AS761">
        <f>HYPERLINK("https://creighton-primo.hosted.exlibrisgroup.com/primo-explore/search?tab=default_tab&amp;search_scope=EVERYTHING&amp;vid=01CRU&amp;lang=en_US&amp;offset=0&amp;query=any,contains,991005015139702656","Catalog Record")</f>
        <v/>
      </c>
      <c r="AT761">
        <f>HYPERLINK("http://www.worldcat.org/oclc/6625480","WorldCat Record")</f>
        <v/>
      </c>
      <c r="AU761" t="inlineStr">
        <is>
          <t>868434628:eng</t>
        </is>
      </c>
      <c r="AV761" t="inlineStr">
        <is>
          <t>6625480</t>
        </is>
      </c>
      <c r="AW761" t="inlineStr">
        <is>
          <t>991005015139702656</t>
        </is>
      </c>
      <c r="AX761" t="inlineStr">
        <is>
          <t>991005015139702656</t>
        </is>
      </c>
      <c r="AY761" t="inlineStr">
        <is>
          <t>2255463110002656</t>
        </is>
      </c>
      <c r="AZ761" t="inlineStr">
        <is>
          <t>BOOK</t>
        </is>
      </c>
      <c r="BB761" t="inlineStr">
        <is>
          <t>9780121997601</t>
        </is>
      </c>
      <c r="BC761" t="inlineStr">
        <is>
          <t>32285001598126</t>
        </is>
      </c>
      <c r="BD761" t="inlineStr">
        <is>
          <t>893776700</t>
        </is>
      </c>
    </row>
    <row r="762">
      <c r="A762" t="inlineStr">
        <is>
          <t>No</t>
        </is>
      </c>
      <c r="B762" t="inlineStr">
        <is>
          <t>BF637.C45 N65</t>
        </is>
      </c>
      <c r="C762" t="inlineStr">
        <is>
          <t>0                      BF 0637000C  45                 N  65</t>
        </is>
      </c>
      <c r="D762" t="inlineStr">
        <is>
          <t>Non-verbal communication / edited by R. A. Hinde.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L762" t="inlineStr">
        <is>
          <t>Cambridge, [Eng.] : University Press, 1972.</t>
        </is>
      </c>
      <c r="M762" t="inlineStr">
        <is>
          <t>1972</t>
        </is>
      </c>
      <c r="O762" t="inlineStr">
        <is>
          <t>eng</t>
        </is>
      </c>
      <c r="P762" t="inlineStr">
        <is>
          <t>enk</t>
        </is>
      </c>
      <c r="R762" t="inlineStr">
        <is>
          <t xml:space="preserve">BF </t>
        </is>
      </c>
      <c r="S762" t="n">
        <v>9</v>
      </c>
      <c r="T762" t="n">
        <v>9</v>
      </c>
      <c r="U762" t="inlineStr">
        <is>
          <t>2003-11-17</t>
        </is>
      </c>
      <c r="V762" t="inlineStr">
        <is>
          <t>2003-11-17</t>
        </is>
      </c>
      <c r="W762" t="inlineStr">
        <is>
          <t>1993-12-15</t>
        </is>
      </c>
      <c r="X762" t="inlineStr">
        <is>
          <t>1993-12-15</t>
        </is>
      </c>
      <c r="Y762" t="n">
        <v>1154</v>
      </c>
      <c r="Z762" t="n">
        <v>828</v>
      </c>
      <c r="AA762" t="n">
        <v>831</v>
      </c>
      <c r="AB762" t="n">
        <v>10</v>
      </c>
      <c r="AC762" t="n">
        <v>10</v>
      </c>
      <c r="AD762" t="n">
        <v>47</v>
      </c>
      <c r="AE762" t="n">
        <v>47</v>
      </c>
      <c r="AF762" t="n">
        <v>17</v>
      </c>
      <c r="AG762" t="n">
        <v>17</v>
      </c>
      <c r="AH762" t="n">
        <v>9</v>
      </c>
      <c r="AI762" t="n">
        <v>9</v>
      </c>
      <c r="AJ762" t="n">
        <v>21</v>
      </c>
      <c r="AK762" t="n">
        <v>21</v>
      </c>
      <c r="AL762" t="n">
        <v>8</v>
      </c>
      <c r="AM762" t="n">
        <v>8</v>
      </c>
      <c r="AN762" t="n">
        <v>2</v>
      </c>
      <c r="AO762" t="n">
        <v>2</v>
      </c>
      <c r="AP762" t="inlineStr">
        <is>
          <t>No</t>
        </is>
      </c>
      <c r="AQ762" t="inlineStr">
        <is>
          <t>No</t>
        </is>
      </c>
      <c r="AS762">
        <f>HYPERLINK("https://creighton-primo.hosted.exlibrisgroup.com/primo-explore/search?tab=default_tab&amp;search_scope=EVERYTHING&amp;vid=01CRU&amp;lang=en_US&amp;offset=0&amp;query=any,contains,991002180659702656","Catalog Record")</f>
        <v/>
      </c>
      <c r="AT762">
        <f>HYPERLINK("http://www.worldcat.org/oclc/278974","WorldCat Record")</f>
        <v/>
      </c>
      <c r="AU762" t="inlineStr">
        <is>
          <t>9175670886:eng</t>
        </is>
      </c>
      <c r="AV762" t="inlineStr">
        <is>
          <t>278974</t>
        </is>
      </c>
      <c r="AW762" t="inlineStr">
        <is>
          <t>991002180659702656</t>
        </is>
      </c>
      <c r="AX762" t="inlineStr">
        <is>
          <t>991002180659702656</t>
        </is>
      </c>
      <c r="AY762" t="inlineStr">
        <is>
          <t>2258241700002656</t>
        </is>
      </c>
      <c r="AZ762" t="inlineStr">
        <is>
          <t>BOOK</t>
        </is>
      </c>
      <c r="BB762" t="inlineStr">
        <is>
          <t>9780521083706</t>
        </is>
      </c>
      <c r="BC762" t="inlineStr">
        <is>
          <t>32285001809192</t>
        </is>
      </c>
      <c r="BD762" t="inlineStr">
        <is>
          <t>893523291</t>
        </is>
      </c>
    </row>
    <row r="763">
      <c r="A763" t="inlineStr">
        <is>
          <t>No</t>
        </is>
      </c>
      <c r="B763" t="inlineStr">
        <is>
          <t>BF637.C45 N67 1983</t>
        </is>
      </c>
      <c r="C763" t="inlineStr">
        <is>
          <t>0                      BF 0637000C  45                 N  67          1983</t>
        </is>
      </c>
      <c r="D763" t="inlineStr">
        <is>
          <t>Communicator style : theory, applications, and measures / Robert Norton.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Norton, Robert.</t>
        </is>
      </c>
      <c r="L763" t="inlineStr">
        <is>
          <t>Beverly Hills, Calif. : Sage Publications, c1983.</t>
        </is>
      </c>
      <c r="M763" t="inlineStr">
        <is>
          <t>1983</t>
        </is>
      </c>
      <c r="O763" t="inlineStr">
        <is>
          <t>eng</t>
        </is>
      </c>
      <c r="P763" t="inlineStr">
        <is>
          <t>cau</t>
        </is>
      </c>
      <c r="Q763" t="inlineStr">
        <is>
          <t>Sage series in interpersonal communication ; v. 1</t>
        </is>
      </c>
      <c r="R763" t="inlineStr">
        <is>
          <t xml:space="preserve">BF </t>
        </is>
      </c>
      <c r="S763" t="n">
        <v>10</v>
      </c>
      <c r="T763" t="n">
        <v>10</v>
      </c>
      <c r="U763" t="inlineStr">
        <is>
          <t>2000-11-06</t>
        </is>
      </c>
      <c r="V763" t="inlineStr">
        <is>
          <t>2000-11-06</t>
        </is>
      </c>
      <c r="W763" t="inlineStr">
        <is>
          <t>1992-12-14</t>
        </is>
      </c>
      <c r="X763" t="inlineStr">
        <is>
          <t>1992-12-14</t>
        </is>
      </c>
      <c r="Y763" t="n">
        <v>445</v>
      </c>
      <c r="Z763" t="n">
        <v>356</v>
      </c>
      <c r="AA763" t="n">
        <v>362</v>
      </c>
      <c r="AB763" t="n">
        <v>5</v>
      </c>
      <c r="AC763" t="n">
        <v>5</v>
      </c>
      <c r="AD763" t="n">
        <v>23</v>
      </c>
      <c r="AE763" t="n">
        <v>23</v>
      </c>
      <c r="AF763" t="n">
        <v>10</v>
      </c>
      <c r="AG763" t="n">
        <v>10</v>
      </c>
      <c r="AH763" t="n">
        <v>4</v>
      </c>
      <c r="AI763" t="n">
        <v>4</v>
      </c>
      <c r="AJ763" t="n">
        <v>13</v>
      </c>
      <c r="AK763" t="n">
        <v>13</v>
      </c>
      <c r="AL763" t="n">
        <v>4</v>
      </c>
      <c r="AM763" t="n">
        <v>4</v>
      </c>
      <c r="AN763" t="n">
        <v>0</v>
      </c>
      <c r="AO763" t="n">
        <v>0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HYPERLINK("http://catalog.hathitrust.org/Record/000482592","HathiTrust Record")</f>
        <v/>
      </c>
      <c r="AS763">
        <f>HYPERLINK("https://creighton-primo.hosted.exlibrisgroup.com/primo-explore/search?tab=default_tab&amp;search_scope=EVERYTHING&amp;vid=01CRU&amp;lang=en_US&amp;offset=0&amp;query=any,contains,991000251859702656","Catalog Record")</f>
        <v/>
      </c>
      <c r="AT763">
        <f>HYPERLINK("http://www.worldcat.org/oclc/9758647","WorldCat Record")</f>
        <v/>
      </c>
      <c r="AU763" t="inlineStr">
        <is>
          <t>836625578:eng</t>
        </is>
      </c>
      <c r="AV763" t="inlineStr">
        <is>
          <t>9758647</t>
        </is>
      </c>
      <c r="AW763" t="inlineStr">
        <is>
          <t>991000251859702656</t>
        </is>
      </c>
      <c r="AX763" t="inlineStr">
        <is>
          <t>991000251859702656</t>
        </is>
      </c>
      <c r="AY763" t="inlineStr">
        <is>
          <t>2257007770002656</t>
        </is>
      </c>
      <c r="AZ763" t="inlineStr">
        <is>
          <t>BOOK</t>
        </is>
      </c>
      <c r="BB763" t="inlineStr">
        <is>
          <t>9780803921191</t>
        </is>
      </c>
      <c r="BC763" t="inlineStr">
        <is>
          <t>32285001466027</t>
        </is>
      </c>
      <c r="BD763" t="inlineStr">
        <is>
          <t>893771504</t>
        </is>
      </c>
    </row>
    <row r="764">
      <c r="A764" t="inlineStr">
        <is>
          <t>No</t>
        </is>
      </c>
      <c r="B764" t="inlineStr">
        <is>
          <t>BF637.C45 P3 1968</t>
        </is>
      </c>
      <c r="C764" t="inlineStr">
        <is>
          <t>0                      BF 0637000C  45                 P  3           1968</t>
        </is>
      </c>
      <c r="D764" t="inlineStr">
        <is>
          <t>The psychology of human communication [by] John Parry.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Parry, John B.</t>
        </is>
      </c>
      <c r="L764" t="inlineStr">
        <is>
          <t>New York, American Elsevier Pub. Co., 1968.</t>
        </is>
      </c>
      <c r="M764" t="inlineStr">
        <is>
          <t>1968</t>
        </is>
      </c>
      <c r="O764" t="inlineStr">
        <is>
          <t>eng</t>
        </is>
      </c>
      <c r="P764" t="inlineStr">
        <is>
          <t>nyu</t>
        </is>
      </c>
      <c r="R764" t="inlineStr">
        <is>
          <t xml:space="preserve">BF </t>
        </is>
      </c>
      <c r="S764" t="n">
        <v>4</v>
      </c>
      <c r="T764" t="n">
        <v>4</v>
      </c>
      <c r="U764" t="inlineStr">
        <is>
          <t>1998-03-02</t>
        </is>
      </c>
      <c r="V764" t="inlineStr">
        <is>
          <t>1998-03-02</t>
        </is>
      </c>
      <c r="W764" t="inlineStr">
        <is>
          <t>1996-08-01</t>
        </is>
      </c>
      <c r="X764" t="inlineStr">
        <is>
          <t>1996-08-01</t>
        </is>
      </c>
      <c r="Y764" t="n">
        <v>292</v>
      </c>
      <c r="Z764" t="n">
        <v>267</v>
      </c>
      <c r="AA764" t="n">
        <v>359</v>
      </c>
      <c r="AB764" t="n">
        <v>3</v>
      </c>
      <c r="AC764" t="n">
        <v>3</v>
      </c>
      <c r="AD764" t="n">
        <v>11</v>
      </c>
      <c r="AE764" t="n">
        <v>14</v>
      </c>
      <c r="AF764" t="n">
        <v>3</v>
      </c>
      <c r="AG764" t="n">
        <v>4</v>
      </c>
      <c r="AH764" t="n">
        <v>3</v>
      </c>
      <c r="AI764" t="n">
        <v>4</v>
      </c>
      <c r="AJ764" t="n">
        <v>5</v>
      </c>
      <c r="AK764" t="n">
        <v>6</v>
      </c>
      <c r="AL764" t="n">
        <v>2</v>
      </c>
      <c r="AM764" t="n">
        <v>2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HYPERLINK("http://catalog.hathitrust.org/Record/000386168","HathiTrust Record")</f>
        <v/>
      </c>
      <c r="AS764">
        <f>HYPERLINK("https://creighton-primo.hosted.exlibrisgroup.com/primo-explore/search?tab=default_tab&amp;search_scope=EVERYTHING&amp;vid=01CRU&amp;lang=en_US&amp;offset=0&amp;query=any,contains,991001215909702656","Catalog Record")</f>
        <v/>
      </c>
      <c r="AT764">
        <f>HYPERLINK("http://www.worldcat.org/oclc/194108","WorldCat Record")</f>
        <v/>
      </c>
      <c r="AU764" t="inlineStr">
        <is>
          <t>1339401:eng</t>
        </is>
      </c>
      <c r="AV764" t="inlineStr">
        <is>
          <t>194108</t>
        </is>
      </c>
      <c r="AW764" t="inlineStr">
        <is>
          <t>991001215909702656</t>
        </is>
      </c>
      <c r="AX764" t="inlineStr">
        <is>
          <t>991001215909702656</t>
        </is>
      </c>
      <c r="AY764" t="inlineStr">
        <is>
          <t>2269367240002656</t>
        </is>
      </c>
      <c r="AZ764" t="inlineStr">
        <is>
          <t>BOOK</t>
        </is>
      </c>
      <c r="BC764" t="inlineStr">
        <is>
          <t>32285002251873</t>
        </is>
      </c>
      <c r="BD764" t="inlineStr">
        <is>
          <t>893225703</t>
        </is>
      </c>
    </row>
    <row r="765">
      <c r="A765" t="inlineStr">
        <is>
          <t>No</t>
        </is>
      </c>
      <c r="B765" t="inlineStr">
        <is>
          <t>BF637.C45 P33 1983</t>
        </is>
      </c>
      <c r="C765" t="inlineStr">
        <is>
          <t>0                      BF 0637000C  45                 P  33          1983</t>
        </is>
      </c>
      <c r="D765" t="inlineStr">
        <is>
          <t>Nonverbal behavior : a functional perspective / Miles L. Patterson.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K765" t="inlineStr">
        <is>
          <t>Patterson, Miles L.</t>
        </is>
      </c>
      <c r="L765" t="inlineStr">
        <is>
          <t>New York : Springer-Verlag, c1983.</t>
        </is>
      </c>
      <c r="M765" t="inlineStr">
        <is>
          <t>1983</t>
        </is>
      </c>
      <c r="O765" t="inlineStr">
        <is>
          <t>eng</t>
        </is>
      </c>
      <c r="P765" t="inlineStr">
        <is>
          <t>nyu</t>
        </is>
      </c>
      <c r="Q765" t="inlineStr">
        <is>
          <t>Springer series in social psychology</t>
        </is>
      </c>
      <c r="R765" t="inlineStr">
        <is>
          <t xml:space="preserve">BF </t>
        </is>
      </c>
      <c r="S765" t="n">
        <v>31</v>
      </c>
      <c r="T765" t="n">
        <v>31</v>
      </c>
      <c r="U765" t="inlineStr">
        <is>
          <t>2007-12-03</t>
        </is>
      </c>
      <c r="V765" t="inlineStr">
        <is>
          <t>2007-12-03</t>
        </is>
      </c>
      <c r="W765" t="inlineStr">
        <is>
          <t>1993-03-03</t>
        </is>
      </c>
      <c r="X765" t="inlineStr">
        <is>
          <t>1993-03-03</t>
        </is>
      </c>
      <c r="Y765" t="n">
        <v>415</v>
      </c>
      <c r="Z765" t="n">
        <v>304</v>
      </c>
      <c r="AA765" t="n">
        <v>326</v>
      </c>
      <c r="AB765" t="n">
        <v>3</v>
      </c>
      <c r="AC765" t="n">
        <v>3</v>
      </c>
      <c r="AD765" t="n">
        <v>13</v>
      </c>
      <c r="AE765" t="n">
        <v>15</v>
      </c>
      <c r="AF765" t="n">
        <v>4</v>
      </c>
      <c r="AG765" t="n">
        <v>6</v>
      </c>
      <c r="AH765" t="n">
        <v>3</v>
      </c>
      <c r="AI765" t="n">
        <v>3</v>
      </c>
      <c r="AJ765" t="n">
        <v>8</v>
      </c>
      <c r="AK765" t="n">
        <v>9</v>
      </c>
      <c r="AL765" t="n">
        <v>2</v>
      </c>
      <c r="AM765" t="n">
        <v>2</v>
      </c>
      <c r="AN765" t="n">
        <v>0</v>
      </c>
      <c r="AO765" t="n">
        <v>0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HYPERLINK("http://catalog.hathitrust.org/Record/000159005","HathiTrust Record")</f>
        <v/>
      </c>
      <c r="AS765">
        <f>HYPERLINK("https://creighton-primo.hosted.exlibrisgroup.com/primo-explore/search?tab=default_tab&amp;search_scope=EVERYTHING&amp;vid=01CRU&amp;lang=en_US&amp;offset=0&amp;query=any,contains,991000217919702656","Catalog Record")</f>
        <v/>
      </c>
      <c r="AT765">
        <f>HYPERLINK("http://www.worldcat.org/oclc/9575040","WorldCat Record")</f>
        <v/>
      </c>
      <c r="AU765" t="inlineStr">
        <is>
          <t>289591257:eng</t>
        </is>
      </c>
      <c r="AV765" t="inlineStr">
        <is>
          <t>9575040</t>
        </is>
      </c>
      <c r="AW765" t="inlineStr">
        <is>
          <t>991000217919702656</t>
        </is>
      </c>
      <c r="AX765" t="inlineStr">
        <is>
          <t>991000217919702656</t>
        </is>
      </c>
      <c r="AY765" t="inlineStr">
        <is>
          <t>2270609640002656</t>
        </is>
      </c>
      <c r="AZ765" t="inlineStr">
        <is>
          <t>BOOK</t>
        </is>
      </c>
      <c r="BB765" t="inlineStr">
        <is>
          <t>9780387908465</t>
        </is>
      </c>
      <c r="BC765" t="inlineStr">
        <is>
          <t>32285001542470</t>
        </is>
      </c>
      <c r="BD765" t="inlineStr">
        <is>
          <t>893601590</t>
        </is>
      </c>
    </row>
    <row r="766">
      <c r="A766" t="inlineStr">
        <is>
          <t>No</t>
        </is>
      </c>
      <c r="B766" t="inlineStr">
        <is>
          <t>BF637.C45 S27</t>
        </is>
      </c>
      <c r="C766" t="inlineStr">
        <is>
          <t>0                      BF 0637000C  45                 S  27</t>
        </is>
      </c>
      <c r="D766" t="inlineStr">
        <is>
          <t>Let's talk; an introduction to interpersonal communication [by] Freda S. Sathré, Ray W. Olson [and] Clarissa I. Whitney.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Yes</t>
        </is>
      </c>
      <c r="J766" t="inlineStr">
        <is>
          <t>0</t>
        </is>
      </c>
      <c r="K766" t="inlineStr">
        <is>
          <t>Sathre, Freda S.</t>
        </is>
      </c>
      <c r="L766" t="inlineStr">
        <is>
          <t>Glenview, Ill., Scott, Foresman [1973]</t>
        </is>
      </c>
      <c r="M766" t="inlineStr">
        <is>
          <t>1973</t>
        </is>
      </c>
      <c r="O766" t="inlineStr">
        <is>
          <t>eng</t>
        </is>
      </c>
      <c r="P766" t="inlineStr">
        <is>
          <t>ilu</t>
        </is>
      </c>
      <c r="R766" t="inlineStr">
        <is>
          <t xml:space="preserve">BF </t>
        </is>
      </c>
      <c r="S766" t="n">
        <v>10</v>
      </c>
      <c r="T766" t="n">
        <v>10</v>
      </c>
      <c r="U766" t="inlineStr">
        <is>
          <t>1996-11-01</t>
        </is>
      </c>
      <c r="V766" t="inlineStr">
        <is>
          <t>1996-11-01</t>
        </is>
      </c>
      <c r="W766" t="inlineStr">
        <is>
          <t>1990-05-01</t>
        </is>
      </c>
      <c r="X766" t="inlineStr">
        <is>
          <t>1990-05-01</t>
        </is>
      </c>
      <c r="Y766" t="n">
        <v>173</v>
      </c>
      <c r="Z766" t="n">
        <v>148</v>
      </c>
      <c r="AA766" t="n">
        <v>303</v>
      </c>
      <c r="AB766" t="n">
        <v>2</v>
      </c>
      <c r="AC766" t="n">
        <v>4</v>
      </c>
      <c r="AD766" t="n">
        <v>1</v>
      </c>
      <c r="AE766" t="n">
        <v>8</v>
      </c>
      <c r="AF766" t="n">
        <v>0</v>
      </c>
      <c r="AG766" t="n">
        <v>3</v>
      </c>
      <c r="AH766" t="n">
        <v>0</v>
      </c>
      <c r="AI766" t="n">
        <v>0</v>
      </c>
      <c r="AJ766" t="n">
        <v>0</v>
      </c>
      <c r="AK766" t="n">
        <v>3</v>
      </c>
      <c r="AL766" t="n">
        <v>1</v>
      </c>
      <c r="AM766" t="n">
        <v>3</v>
      </c>
      <c r="AN766" t="n">
        <v>0</v>
      </c>
      <c r="AO766" t="n">
        <v>0</v>
      </c>
      <c r="AP766" t="inlineStr">
        <is>
          <t>No</t>
        </is>
      </c>
      <c r="AQ766" t="inlineStr">
        <is>
          <t>No</t>
        </is>
      </c>
      <c r="AS766">
        <f>HYPERLINK("https://creighton-primo.hosted.exlibrisgroup.com/primo-explore/search?tab=default_tab&amp;search_scope=EVERYTHING&amp;vid=01CRU&amp;lang=en_US&amp;offset=0&amp;query=any,contains,991003230089702656","Catalog Record")</f>
        <v/>
      </c>
      <c r="AT766">
        <f>HYPERLINK("http://www.worldcat.org/oclc/754653","WorldCat Record")</f>
        <v/>
      </c>
      <c r="AU766" t="inlineStr">
        <is>
          <t>520356:eng</t>
        </is>
      </c>
      <c r="AV766" t="inlineStr">
        <is>
          <t>754653</t>
        </is>
      </c>
      <c r="AW766" t="inlineStr">
        <is>
          <t>991003230089702656</t>
        </is>
      </c>
      <c r="AX766" t="inlineStr">
        <is>
          <t>991003230089702656</t>
        </is>
      </c>
      <c r="AY766" t="inlineStr">
        <is>
          <t>2267558520002656</t>
        </is>
      </c>
      <c r="AZ766" t="inlineStr">
        <is>
          <t>BOOK</t>
        </is>
      </c>
      <c r="BB766" t="inlineStr">
        <is>
          <t>9780673079022</t>
        </is>
      </c>
      <c r="BC766" t="inlineStr">
        <is>
          <t>32285000129378</t>
        </is>
      </c>
      <c r="BD766" t="inlineStr">
        <is>
          <t>893717442</t>
        </is>
      </c>
    </row>
    <row r="767">
      <c r="A767" t="inlineStr">
        <is>
          <t>No</t>
        </is>
      </c>
      <c r="B767" t="inlineStr">
        <is>
          <t>BF637.C45 S27 1977</t>
        </is>
      </c>
      <c r="C767" t="inlineStr">
        <is>
          <t>0                      BF 0637000C  45                 S  27          1977</t>
        </is>
      </c>
      <c r="D767" t="inlineStr">
        <is>
          <t>Let's talk : an introduction to interpersonal communication / Freda S. Sathré, Ray W. Olson, Clarissa I. Whitney.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Yes</t>
        </is>
      </c>
      <c r="J767" t="inlineStr">
        <is>
          <t>0</t>
        </is>
      </c>
      <c r="K767" t="inlineStr">
        <is>
          <t>Sathré-Eldon, Freda S.</t>
        </is>
      </c>
      <c r="L767" t="inlineStr">
        <is>
          <t>Glenview, Ill. : Scott, Foresman, c1977.</t>
        </is>
      </c>
      <c r="M767" t="inlineStr">
        <is>
          <t>1977</t>
        </is>
      </c>
      <c r="N767" t="inlineStr">
        <is>
          <t>2d ed.</t>
        </is>
      </c>
      <c r="O767" t="inlineStr">
        <is>
          <t>eng</t>
        </is>
      </c>
      <c r="P767" t="inlineStr">
        <is>
          <t>ilu</t>
        </is>
      </c>
      <c r="R767" t="inlineStr">
        <is>
          <t xml:space="preserve">BF </t>
        </is>
      </c>
      <c r="S767" t="n">
        <v>7</v>
      </c>
      <c r="T767" t="n">
        <v>7</v>
      </c>
      <c r="U767" t="inlineStr">
        <is>
          <t>1998-03-02</t>
        </is>
      </c>
      <c r="V767" t="inlineStr">
        <is>
          <t>1998-03-02</t>
        </is>
      </c>
      <c r="W767" t="inlineStr">
        <is>
          <t>1994-04-29</t>
        </is>
      </c>
      <c r="X767" t="inlineStr">
        <is>
          <t>1994-04-29</t>
        </is>
      </c>
      <c r="Y767" t="n">
        <v>140</v>
      </c>
      <c r="Z767" t="n">
        <v>114</v>
      </c>
      <c r="AA767" t="n">
        <v>303</v>
      </c>
      <c r="AB767" t="n">
        <v>3</v>
      </c>
      <c r="AC767" t="n">
        <v>4</v>
      </c>
      <c r="AD767" t="n">
        <v>4</v>
      </c>
      <c r="AE767" t="n">
        <v>8</v>
      </c>
      <c r="AF767" t="n">
        <v>2</v>
      </c>
      <c r="AG767" t="n">
        <v>3</v>
      </c>
      <c r="AH767" t="n">
        <v>0</v>
      </c>
      <c r="AI767" t="n">
        <v>0</v>
      </c>
      <c r="AJ767" t="n">
        <v>0</v>
      </c>
      <c r="AK767" t="n">
        <v>3</v>
      </c>
      <c r="AL767" t="n">
        <v>2</v>
      </c>
      <c r="AM767" t="n">
        <v>3</v>
      </c>
      <c r="AN767" t="n">
        <v>0</v>
      </c>
      <c r="AO767" t="n">
        <v>0</v>
      </c>
      <c r="AP767" t="inlineStr">
        <is>
          <t>No</t>
        </is>
      </c>
      <c r="AQ767" t="inlineStr">
        <is>
          <t>No</t>
        </is>
      </c>
      <c r="AS767">
        <f>HYPERLINK("https://creighton-primo.hosted.exlibrisgroup.com/primo-explore/search?tab=default_tab&amp;search_scope=EVERYTHING&amp;vid=01CRU&amp;lang=en_US&amp;offset=0&amp;query=any,contains,991004101999702656","Catalog Record")</f>
        <v/>
      </c>
      <c r="AT767">
        <f>HYPERLINK("http://www.worldcat.org/oclc/2372914","WorldCat Record")</f>
        <v/>
      </c>
      <c r="AU767" t="inlineStr">
        <is>
          <t>520356:eng</t>
        </is>
      </c>
      <c r="AV767" t="inlineStr">
        <is>
          <t>2372914</t>
        </is>
      </c>
      <c r="AW767" t="inlineStr">
        <is>
          <t>991004101999702656</t>
        </is>
      </c>
      <c r="AX767" t="inlineStr">
        <is>
          <t>991004101999702656</t>
        </is>
      </c>
      <c r="AY767" t="inlineStr">
        <is>
          <t>2256518690002656</t>
        </is>
      </c>
      <c r="AZ767" t="inlineStr">
        <is>
          <t>BOOK</t>
        </is>
      </c>
      <c r="BB767" t="inlineStr">
        <is>
          <t>9780673150387</t>
        </is>
      </c>
      <c r="BC767" t="inlineStr">
        <is>
          <t>32285001905271</t>
        </is>
      </c>
      <c r="BD767" t="inlineStr">
        <is>
          <t>893253238</t>
        </is>
      </c>
    </row>
    <row r="768">
      <c r="A768" t="inlineStr">
        <is>
          <t>No</t>
        </is>
      </c>
      <c r="B768" t="inlineStr">
        <is>
          <t>BF637.C45 S46 1985</t>
        </is>
      </c>
      <c r="C768" t="inlineStr">
        <is>
          <t>0                      BF 0637000C  45                 S  46          1985</t>
        </is>
      </c>
      <c r="D768" t="inlineStr">
        <is>
          <t>Sequence and pattern in communicative behaviour / edited by R.L. Street, Jr. and J.N. Cappella.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L768" t="inlineStr">
        <is>
          <t>London : Edward Arnold, c1985.</t>
        </is>
      </c>
      <c r="M768" t="inlineStr">
        <is>
          <t>1984</t>
        </is>
      </c>
      <c r="O768" t="inlineStr">
        <is>
          <t>eng</t>
        </is>
      </c>
      <c r="P768" t="inlineStr">
        <is>
          <t>enk</t>
        </is>
      </c>
      <c r="Q768" t="inlineStr">
        <is>
          <t>Social psychology of language ; 3</t>
        </is>
      </c>
      <c r="R768" t="inlineStr">
        <is>
          <t xml:space="preserve">BF </t>
        </is>
      </c>
      <c r="S768" t="n">
        <v>8</v>
      </c>
      <c r="T768" t="n">
        <v>8</v>
      </c>
      <c r="U768" t="inlineStr">
        <is>
          <t>1997-11-12</t>
        </is>
      </c>
      <c r="V768" t="inlineStr">
        <is>
          <t>1997-11-12</t>
        </is>
      </c>
      <c r="W768" t="inlineStr">
        <is>
          <t>1993-04-01</t>
        </is>
      </c>
      <c r="X768" t="inlineStr">
        <is>
          <t>1993-04-01</t>
        </is>
      </c>
      <c r="Y768" t="n">
        <v>369</v>
      </c>
      <c r="Z768" t="n">
        <v>253</v>
      </c>
      <c r="AA768" t="n">
        <v>258</v>
      </c>
      <c r="AB768" t="n">
        <v>3</v>
      </c>
      <c r="AC768" t="n">
        <v>3</v>
      </c>
      <c r="AD768" t="n">
        <v>12</v>
      </c>
      <c r="AE768" t="n">
        <v>12</v>
      </c>
      <c r="AF768" t="n">
        <v>4</v>
      </c>
      <c r="AG768" t="n">
        <v>4</v>
      </c>
      <c r="AH768" t="n">
        <v>3</v>
      </c>
      <c r="AI768" t="n">
        <v>3</v>
      </c>
      <c r="AJ768" t="n">
        <v>6</v>
      </c>
      <c r="AK768" t="n">
        <v>6</v>
      </c>
      <c r="AL768" t="n">
        <v>2</v>
      </c>
      <c r="AM768" t="n">
        <v>2</v>
      </c>
      <c r="AN768" t="n">
        <v>0</v>
      </c>
      <c r="AO768" t="n">
        <v>0</v>
      </c>
      <c r="AP768" t="inlineStr">
        <is>
          <t>No</t>
        </is>
      </c>
      <c r="AQ768" t="inlineStr">
        <is>
          <t>No</t>
        </is>
      </c>
      <c r="AS768">
        <f>HYPERLINK("https://creighton-primo.hosted.exlibrisgroup.com/primo-explore/search?tab=default_tab&amp;search_scope=EVERYTHING&amp;vid=01CRU&amp;lang=en_US&amp;offset=0&amp;query=any,contains,991000555669702656","Catalog Record")</f>
        <v/>
      </c>
      <c r="AT768">
        <f>HYPERLINK("http://www.worldcat.org/oclc/13328793","WorldCat Record")</f>
        <v/>
      </c>
      <c r="AU768" t="inlineStr">
        <is>
          <t>7398530:eng</t>
        </is>
      </c>
      <c r="AV768" t="inlineStr">
        <is>
          <t>13328793</t>
        </is>
      </c>
      <c r="AW768" t="inlineStr">
        <is>
          <t>991000555669702656</t>
        </is>
      </c>
      <c r="AX768" t="inlineStr">
        <is>
          <t>991000555669702656</t>
        </is>
      </c>
      <c r="AY768" t="inlineStr">
        <is>
          <t>2260516710002656</t>
        </is>
      </c>
      <c r="AZ768" t="inlineStr">
        <is>
          <t>BOOK</t>
        </is>
      </c>
      <c r="BB768" t="inlineStr">
        <is>
          <t>9780713164183</t>
        </is>
      </c>
      <c r="BC768" t="inlineStr">
        <is>
          <t>32285001598142</t>
        </is>
      </c>
      <c r="BD768" t="inlineStr">
        <is>
          <t>893890806</t>
        </is>
      </c>
    </row>
    <row r="769">
      <c r="A769" t="inlineStr">
        <is>
          <t>No</t>
        </is>
      </c>
      <c r="B769" t="inlineStr">
        <is>
          <t>BF637.C45 S63 1998</t>
        </is>
      </c>
      <c r="C769" t="inlineStr">
        <is>
          <t>0                      BF 0637000C  45                 S  63          1998</t>
        </is>
      </c>
      <c r="D769" t="inlineStr">
        <is>
          <t>Social and cognitive approaches to interpersonal communication / edited by Susan R. Fussell, Roger J. Kreuz.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L769" t="inlineStr">
        <is>
          <t>Mahwah, N.J. : Lawrence Erlbaum Associates, 1998.</t>
        </is>
      </c>
      <c r="M769" t="inlineStr">
        <is>
          <t>1998</t>
        </is>
      </c>
      <c r="O769" t="inlineStr">
        <is>
          <t>eng</t>
        </is>
      </c>
      <c r="P769" t="inlineStr">
        <is>
          <t>nju</t>
        </is>
      </c>
      <c r="R769" t="inlineStr">
        <is>
          <t xml:space="preserve">BF </t>
        </is>
      </c>
      <c r="S769" t="n">
        <v>2</v>
      </c>
      <c r="T769" t="n">
        <v>2</v>
      </c>
      <c r="U769" t="inlineStr">
        <is>
          <t>2008-04-03</t>
        </is>
      </c>
      <c r="V769" t="inlineStr">
        <is>
          <t>2008-04-03</t>
        </is>
      </c>
      <c r="W769" t="inlineStr">
        <is>
          <t>2004-04-15</t>
        </is>
      </c>
      <c r="X769" t="inlineStr">
        <is>
          <t>2004-04-15</t>
        </is>
      </c>
      <c r="Y769" t="n">
        <v>546</v>
      </c>
      <c r="Z769" t="n">
        <v>455</v>
      </c>
      <c r="AA769" t="n">
        <v>480</v>
      </c>
      <c r="AB769" t="n">
        <v>6</v>
      </c>
      <c r="AC769" t="n">
        <v>6</v>
      </c>
      <c r="AD769" t="n">
        <v>31</v>
      </c>
      <c r="AE769" t="n">
        <v>31</v>
      </c>
      <c r="AF769" t="n">
        <v>12</v>
      </c>
      <c r="AG769" t="n">
        <v>12</v>
      </c>
      <c r="AH769" t="n">
        <v>8</v>
      </c>
      <c r="AI769" t="n">
        <v>8</v>
      </c>
      <c r="AJ769" t="n">
        <v>16</v>
      </c>
      <c r="AK769" t="n">
        <v>16</v>
      </c>
      <c r="AL769" t="n">
        <v>5</v>
      </c>
      <c r="AM769" t="n">
        <v>5</v>
      </c>
      <c r="AN769" t="n">
        <v>0</v>
      </c>
      <c r="AO769" t="n">
        <v>0</v>
      </c>
      <c r="AP769" t="inlineStr">
        <is>
          <t>No</t>
        </is>
      </c>
      <c r="AQ769" t="inlineStr">
        <is>
          <t>Yes</t>
        </is>
      </c>
      <c r="AR769">
        <f>HYPERLINK("http://catalog.hathitrust.org/Record/003982177","HathiTrust Record")</f>
        <v/>
      </c>
      <c r="AS769">
        <f>HYPERLINK("https://creighton-primo.hosted.exlibrisgroup.com/primo-explore/search?tab=default_tab&amp;search_scope=EVERYTHING&amp;vid=01CRU&amp;lang=en_US&amp;offset=0&amp;query=any,contains,991004268809702656","Catalog Record")</f>
        <v/>
      </c>
      <c r="AT769">
        <f>HYPERLINK("http://www.worldcat.org/oclc/36961118","WorldCat Record")</f>
        <v/>
      </c>
      <c r="AU769" t="inlineStr">
        <is>
          <t>354854209:eng</t>
        </is>
      </c>
      <c r="AV769" t="inlineStr">
        <is>
          <t>36961118</t>
        </is>
      </c>
      <c r="AW769" t="inlineStr">
        <is>
          <t>991004268809702656</t>
        </is>
      </c>
      <c r="AX769" t="inlineStr">
        <is>
          <t>991004268809702656</t>
        </is>
      </c>
      <c r="AY769" t="inlineStr">
        <is>
          <t>2259169120002656</t>
        </is>
      </c>
      <c r="AZ769" t="inlineStr">
        <is>
          <t>BOOK</t>
        </is>
      </c>
      <c r="BB769" t="inlineStr">
        <is>
          <t>9780805822694</t>
        </is>
      </c>
      <c r="BC769" t="inlineStr">
        <is>
          <t>32285004899521</t>
        </is>
      </c>
      <c r="BD769" t="inlineStr">
        <is>
          <t>893411323</t>
        </is>
      </c>
    </row>
    <row r="770">
      <c r="A770" t="inlineStr">
        <is>
          <t>No</t>
        </is>
      </c>
      <c r="B770" t="inlineStr">
        <is>
          <t>BF637.C45 S66</t>
        </is>
      </c>
      <c r="C770" t="inlineStr">
        <is>
          <t>0                      BF 0637000C  45                 S  66</t>
        </is>
      </c>
      <c r="D770" t="inlineStr">
        <is>
          <t>Messages of the body / [by] John Spiegel &amp; Pavel Machotka.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Spiegel, John P. (John Patrick), 1911-1991.</t>
        </is>
      </c>
      <c r="L770" t="inlineStr">
        <is>
          <t>New York : Free Press, [1974]</t>
        </is>
      </c>
      <c r="M770" t="inlineStr">
        <is>
          <t>1974</t>
        </is>
      </c>
      <c r="O770" t="inlineStr">
        <is>
          <t>eng</t>
        </is>
      </c>
      <c r="P770" t="inlineStr">
        <is>
          <t>nyu</t>
        </is>
      </c>
      <c r="R770" t="inlineStr">
        <is>
          <t xml:space="preserve">BF </t>
        </is>
      </c>
      <c r="S770" t="n">
        <v>13</v>
      </c>
      <c r="T770" t="n">
        <v>13</v>
      </c>
      <c r="U770" t="inlineStr">
        <is>
          <t>2007-12-03</t>
        </is>
      </c>
      <c r="V770" t="inlineStr">
        <is>
          <t>2007-12-03</t>
        </is>
      </c>
      <c r="W770" t="inlineStr">
        <is>
          <t>1994-08-12</t>
        </is>
      </c>
      <c r="X770" t="inlineStr">
        <is>
          <t>1994-08-12</t>
        </is>
      </c>
      <c r="Y770" t="n">
        <v>903</v>
      </c>
      <c r="Z770" t="n">
        <v>775</v>
      </c>
      <c r="AA770" t="n">
        <v>781</v>
      </c>
      <c r="AB770" t="n">
        <v>7</v>
      </c>
      <c r="AC770" t="n">
        <v>7</v>
      </c>
      <c r="AD770" t="n">
        <v>35</v>
      </c>
      <c r="AE770" t="n">
        <v>35</v>
      </c>
      <c r="AF770" t="n">
        <v>15</v>
      </c>
      <c r="AG770" t="n">
        <v>15</v>
      </c>
      <c r="AH770" t="n">
        <v>5</v>
      </c>
      <c r="AI770" t="n">
        <v>5</v>
      </c>
      <c r="AJ770" t="n">
        <v>16</v>
      </c>
      <c r="AK770" t="n">
        <v>16</v>
      </c>
      <c r="AL770" t="n">
        <v>6</v>
      </c>
      <c r="AM770" t="n">
        <v>6</v>
      </c>
      <c r="AN770" t="n">
        <v>0</v>
      </c>
      <c r="AO770" t="n">
        <v>0</v>
      </c>
      <c r="AP770" t="inlineStr">
        <is>
          <t>No</t>
        </is>
      </c>
      <c r="AQ770" t="inlineStr">
        <is>
          <t>Yes</t>
        </is>
      </c>
      <c r="AR770">
        <f>HYPERLINK("http://catalog.hathitrust.org/Record/000011260","HathiTrust Record")</f>
        <v/>
      </c>
      <c r="AS770">
        <f>HYPERLINK("https://creighton-primo.hosted.exlibrisgroup.com/primo-explore/search?tab=default_tab&amp;search_scope=EVERYTHING&amp;vid=01CRU&amp;lang=en_US&amp;offset=0&amp;query=any,contains,991003240509702656","Catalog Record")</f>
        <v/>
      </c>
      <c r="AT770">
        <f>HYPERLINK("http://www.worldcat.org/oclc/763549","WorldCat Record")</f>
        <v/>
      </c>
      <c r="AU770" t="inlineStr">
        <is>
          <t>494606:eng</t>
        </is>
      </c>
      <c r="AV770" t="inlineStr">
        <is>
          <t>763549</t>
        </is>
      </c>
      <c r="AW770" t="inlineStr">
        <is>
          <t>991003240509702656</t>
        </is>
      </c>
      <c r="AX770" t="inlineStr">
        <is>
          <t>991003240509702656</t>
        </is>
      </c>
      <c r="AY770" t="inlineStr">
        <is>
          <t>2266475010002656</t>
        </is>
      </c>
      <c r="AZ770" t="inlineStr">
        <is>
          <t>BOOK</t>
        </is>
      </c>
      <c r="BB770" t="inlineStr">
        <is>
          <t>9780029304006</t>
        </is>
      </c>
      <c r="BC770" t="inlineStr">
        <is>
          <t>32285001938108</t>
        </is>
      </c>
      <c r="BD770" t="inlineStr">
        <is>
          <t>893422335</t>
        </is>
      </c>
    </row>
    <row r="771">
      <c r="A771" t="inlineStr">
        <is>
          <t>No</t>
        </is>
      </c>
      <c r="B771" t="inlineStr">
        <is>
          <t>BF637.C45 S83</t>
        </is>
      </c>
      <c r="C771" t="inlineStr">
        <is>
          <t>0                      BF 0637000C  45                 S  83</t>
        </is>
      </c>
      <c r="D771" t="inlineStr">
        <is>
          <t>Talking it out : a guide to effective communication and problem solving / Joseph M. Strayhorn, Jr. --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Strayhorn, Joseph M.</t>
        </is>
      </c>
      <c r="L771" t="inlineStr">
        <is>
          <t>Champaign, Ill. : Research Press Co., c1977.</t>
        </is>
      </c>
      <c r="M771" t="inlineStr">
        <is>
          <t>1977</t>
        </is>
      </c>
      <c r="O771" t="inlineStr">
        <is>
          <t>eng</t>
        </is>
      </c>
      <c r="P771" t="inlineStr">
        <is>
          <t>ilu</t>
        </is>
      </c>
      <c r="R771" t="inlineStr">
        <is>
          <t xml:space="preserve">BF </t>
        </is>
      </c>
      <c r="S771" t="n">
        <v>16</v>
      </c>
      <c r="T771" t="n">
        <v>16</v>
      </c>
      <c r="U771" t="inlineStr">
        <is>
          <t>2004-11-10</t>
        </is>
      </c>
      <c r="V771" t="inlineStr">
        <is>
          <t>2004-11-10</t>
        </is>
      </c>
      <c r="W771" t="inlineStr">
        <is>
          <t>1991-11-08</t>
        </is>
      </c>
      <c r="X771" t="inlineStr">
        <is>
          <t>1991-11-08</t>
        </is>
      </c>
      <c r="Y771" t="n">
        <v>385</v>
      </c>
      <c r="Z771" t="n">
        <v>329</v>
      </c>
      <c r="AA771" t="n">
        <v>331</v>
      </c>
      <c r="AB771" t="n">
        <v>7</v>
      </c>
      <c r="AC771" t="n">
        <v>7</v>
      </c>
      <c r="AD771" t="n">
        <v>14</v>
      </c>
      <c r="AE771" t="n">
        <v>14</v>
      </c>
      <c r="AF771" t="n">
        <v>6</v>
      </c>
      <c r="AG771" t="n">
        <v>6</v>
      </c>
      <c r="AH771" t="n">
        <v>2</v>
      </c>
      <c r="AI771" t="n">
        <v>2</v>
      </c>
      <c r="AJ771" t="n">
        <v>4</v>
      </c>
      <c r="AK771" t="n">
        <v>4</v>
      </c>
      <c r="AL771" t="n">
        <v>4</v>
      </c>
      <c r="AM771" t="n">
        <v>4</v>
      </c>
      <c r="AN771" t="n">
        <v>1</v>
      </c>
      <c r="AO771" t="n">
        <v>1</v>
      </c>
      <c r="AP771" t="inlineStr">
        <is>
          <t>No</t>
        </is>
      </c>
      <c r="AQ771" t="inlineStr">
        <is>
          <t>Yes</t>
        </is>
      </c>
      <c r="AR771">
        <f>HYPERLINK("http://catalog.hathitrust.org/Record/000093768","HathiTrust Record")</f>
        <v/>
      </c>
      <c r="AS771">
        <f>HYPERLINK("https://creighton-primo.hosted.exlibrisgroup.com/primo-explore/search?tab=default_tab&amp;search_scope=EVERYTHING&amp;vid=01CRU&amp;lang=en_US&amp;offset=0&amp;query=any,contains,991004494099702656","Catalog Record")</f>
        <v/>
      </c>
      <c r="AT771">
        <f>HYPERLINK("http://www.worldcat.org/oclc/3681552","WorldCat Record")</f>
        <v/>
      </c>
      <c r="AU771" t="inlineStr">
        <is>
          <t>308107828:eng</t>
        </is>
      </c>
      <c r="AV771" t="inlineStr">
        <is>
          <t>3681552</t>
        </is>
      </c>
      <c r="AW771" t="inlineStr">
        <is>
          <t>991004494099702656</t>
        </is>
      </c>
      <c r="AX771" t="inlineStr">
        <is>
          <t>991004494099702656</t>
        </is>
      </c>
      <c r="AY771" t="inlineStr">
        <is>
          <t>2260047530002656</t>
        </is>
      </c>
      <c r="AZ771" t="inlineStr">
        <is>
          <t>BOOK</t>
        </is>
      </c>
      <c r="BB771" t="inlineStr">
        <is>
          <t>9780878221400</t>
        </is>
      </c>
      <c r="BC771" t="inlineStr">
        <is>
          <t>32285000820935</t>
        </is>
      </c>
      <c r="BD771" t="inlineStr">
        <is>
          <t>893606098</t>
        </is>
      </c>
    </row>
    <row r="772">
      <c r="A772" t="inlineStr">
        <is>
          <t>No</t>
        </is>
      </c>
      <c r="B772" t="inlineStr">
        <is>
          <t>BF637.C45 T73</t>
        </is>
      </c>
      <c r="C772" t="inlineStr">
        <is>
          <t>0                      BF 0637000C  45                 T  73</t>
        </is>
      </c>
      <c r="D772" t="inlineStr">
        <is>
          <t>Concepts in communication [by] Jimmie D. Trent, Judith S. Trent [and] Daniel J. O'Neill.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Trent, Jimmie D. compiler.</t>
        </is>
      </c>
      <c r="L772" t="inlineStr">
        <is>
          <t>Boston, Allyn and Bacon [1973]</t>
        </is>
      </c>
      <c r="M772" t="inlineStr">
        <is>
          <t>1973</t>
        </is>
      </c>
      <c r="O772" t="inlineStr">
        <is>
          <t>eng</t>
        </is>
      </c>
      <c r="P772" t="inlineStr">
        <is>
          <t>mau</t>
        </is>
      </c>
      <c r="R772" t="inlineStr">
        <is>
          <t xml:space="preserve">BF </t>
        </is>
      </c>
      <c r="S772" t="n">
        <v>2</v>
      </c>
      <c r="T772" t="n">
        <v>2</v>
      </c>
      <c r="U772" t="inlineStr">
        <is>
          <t>1996-11-12</t>
        </is>
      </c>
      <c r="V772" t="inlineStr">
        <is>
          <t>1996-11-12</t>
        </is>
      </c>
      <c r="W772" t="inlineStr">
        <is>
          <t>1996-08-01</t>
        </is>
      </c>
      <c r="X772" t="inlineStr">
        <is>
          <t>1996-08-01</t>
        </is>
      </c>
      <c r="Y772" t="n">
        <v>228</v>
      </c>
      <c r="Z772" t="n">
        <v>200</v>
      </c>
      <c r="AA772" t="n">
        <v>201</v>
      </c>
      <c r="AB772" t="n">
        <v>4</v>
      </c>
      <c r="AC772" t="n">
        <v>4</v>
      </c>
      <c r="AD772" t="n">
        <v>10</v>
      </c>
      <c r="AE772" t="n">
        <v>10</v>
      </c>
      <c r="AF772" t="n">
        <v>4</v>
      </c>
      <c r="AG772" t="n">
        <v>4</v>
      </c>
      <c r="AH772" t="n">
        <v>4</v>
      </c>
      <c r="AI772" t="n">
        <v>4</v>
      </c>
      <c r="AJ772" t="n">
        <v>4</v>
      </c>
      <c r="AK772" t="n">
        <v>4</v>
      </c>
      <c r="AL772" t="n">
        <v>3</v>
      </c>
      <c r="AM772" t="n">
        <v>3</v>
      </c>
      <c r="AN772" t="n">
        <v>0</v>
      </c>
      <c r="AO772" t="n">
        <v>0</v>
      </c>
      <c r="AP772" t="inlineStr">
        <is>
          <t>No</t>
        </is>
      </c>
      <c r="AQ772" t="inlineStr">
        <is>
          <t>No</t>
        </is>
      </c>
      <c r="AS772">
        <f>HYPERLINK("https://creighton-primo.hosted.exlibrisgroup.com/primo-explore/search?tab=default_tab&amp;search_scope=EVERYTHING&amp;vid=01CRU&amp;lang=en_US&amp;offset=0&amp;query=any,contains,991003086289702656","Catalog Record")</f>
        <v/>
      </c>
      <c r="AT772">
        <f>HYPERLINK("http://www.worldcat.org/oclc/636494","WorldCat Record")</f>
        <v/>
      </c>
      <c r="AU772" t="inlineStr">
        <is>
          <t>1768414:eng</t>
        </is>
      </c>
      <c r="AV772" t="inlineStr">
        <is>
          <t>636494</t>
        </is>
      </c>
      <c r="AW772" t="inlineStr">
        <is>
          <t>991003086289702656</t>
        </is>
      </c>
      <c r="AX772" t="inlineStr">
        <is>
          <t>991003086289702656</t>
        </is>
      </c>
      <c r="AY772" t="inlineStr">
        <is>
          <t>2254755280002656</t>
        </is>
      </c>
      <c r="AZ772" t="inlineStr">
        <is>
          <t>BOOK</t>
        </is>
      </c>
      <c r="BC772" t="inlineStr">
        <is>
          <t>32285002251881</t>
        </is>
      </c>
      <c r="BD772" t="inlineStr">
        <is>
          <t>893336130</t>
        </is>
      </c>
    </row>
    <row r="773">
      <c r="A773" t="inlineStr">
        <is>
          <t>No</t>
        </is>
      </c>
      <c r="B773" t="inlineStr">
        <is>
          <t>BF637.C45 W39</t>
        </is>
      </c>
      <c r="C773" t="inlineStr">
        <is>
          <t>0                      BF 0637000C  45                 W  39</t>
        </is>
      </c>
      <c r="D773" t="inlineStr">
        <is>
          <t>Keeping your cool under fire : communicating non-defensively / Theodora Wells.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Wells, Theodora.</t>
        </is>
      </c>
      <c r="L773" t="inlineStr">
        <is>
          <t>New York : McGraw-Hill, c1980.</t>
        </is>
      </c>
      <c r="M773" t="inlineStr">
        <is>
          <t>1980</t>
        </is>
      </c>
      <c r="O773" t="inlineStr">
        <is>
          <t>eng</t>
        </is>
      </c>
      <c r="P773" t="inlineStr">
        <is>
          <t>nyu</t>
        </is>
      </c>
      <c r="R773" t="inlineStr">
        <is>
          <t xml:space="preserve">BF </t>
        </is>
      </c>
      <c r="S773" t="n">
        <v>7</v>
      </c>
      <c r="T773" t="n">
        <v>7</v>
      </c>
      <c r="U773" t="inlineStr">
        <is>
          <t>2008-08-27</t>
        </is>
      </c>
      <c r="V773" t="inlineStr">
        <is>
          <t>2008-08-27</t>
        </is>
      </c>
      <c r="W773" t="inlineStr">
        <is>
          <t>1993-04-01</t>
        </is>
      </c>
      <c r="X773" t="inlineStr">
        <is>
          <t>1993-04-01</t>
        </is>
      </c>
      <c r="Y773" t="n">
        <v>740</v>
      </c>
      <c r="Z773" t="n">
        <v>677</v>
      </c>
      <c r="AA773" t="n">
        <v>678</v>
      </c>
      <c r="AB773" t="n">
        <v>2</v>
      </c>
      <c r="AC773" t="n">
        <v>2</v>
      </c>
      <c r="AD773" t="n">
        <v>12</v>
      </c>
      <c r="AE773" t="n">
        <v>12</v>
      </c>
      <c r="AF773" t="n">
        <v>4</v>
      </c>
      <c r="AG773" t="n">
        <v>4</v>
      </c>
      <c r="AH773" t="n">
        <v>2</v>
      </c>
      <c r="AI773" t="n">
        <v>2</v>
      </c>
      <c r="AJ773" t="n">
        <v>6</v>
      </c>
      <c r="AK773" t="n">
        <v>6</v>
      </c>
      <c r="AL773" t="n">
        <v>1</v>
      </c>
      <c r="AM773" t="n">
        <v>1</v>
      </c>
      <c r="AN773" t="n">
        <v>0</v>
      </c>
      <c r="AO773" t="n">
        <v>0</v>
      </c>
      <c r="AP773" t="inlineStr">
        <is>
          <t>No</t>
        </is>
      </c>
      <c r="AQ773" t="inlineStr">
        <is>
          <t>No</t>
        </is>
      </c>
      <c r="AS773">
        <f>HYPERLINK("https://creighton-primo.hosted.exlibrisgroup.com/primo-explore/search?tab=default_tab&amp;search_scope=EVERYTHING&amp;vid=01CRU&amp;lang=en_US&amp;offset=0&amp;query=any,contains,991004751369702656","Catalog Record")</f>
        <v/>
      </c>
      <c r="AT773">
        <f>HYPERLINK("http://www.worldcat.org/oclc/4933827","WorldCat Record")</f>
        <v/>
      </c>
      <c r="AU773" t="inlineStr">
        <is>
          <t>180439743:eng</t>
        </is>
      </c>
      <c r="AV773" t="inlineStr">
        <is>
          <t>4933827</t>
        </is>
      </c>
      <c r="AW773" t="inlineStr">
        <is>
          <t>991004751369702656</t>
        </is>
      </c>
      <c r="AX773" t="inlineStr">
        <is>
          <t>991004751369702656</t>
        </is>
      </c>
      <c r="AY773" t="inlineStr">
        <is>
          <t>2269031090002656</t>
        </is>
      </c>
      <c r="AZ773" t="inlineStr">
        <is>
          <t>BOOK</t>
        </is>
      </c>
      <c r="BB773" t="inlineStr">
        <is>
          <t>9780070692503</t>
        </is>
      </c>
      <c r="BC773" t="inlineStr">
        <is>
          <t>32285001598159</t>
        </is>
      </c>
      <c r="BD773" t="inlineStr">
        <is>
          <t>893905059</t>
        </is>
      </c>
    </row>
    <row r="774">
      <c r="A774" t="inlineStr">
        <is>
          <t>No</t>
        </is>
      </c>
      <c r="B774" t="inlineStr">
        <is>
          <t>BF637.C5 M36 1990</t>
        </is>
      </c>
      <c r="C774" t="inlineStr">
        <is>
          <t>0                      BF 0637000C  5                  M  36          1990</t>
        </is>
      </c>
      <c r="D774" t="inlineStr">
        <is>
          <t>Personality in adulthood / Robert R. McCrae, Paul T. Costa, Jr.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McCrae, Robert R.</t>
        </is>
      </c>
      <c r="L774" t="inlineStr">
        <is>
          <t>New York : Guilford Press, c1990.</t>
        </is>
      </c>
      <c r="M774" t="inlineStr">
        <is>
          <t>1990</t>
        </is>
      </c>
      <c r="O774" t="inlineStr">
        <is>
          <t>eng</t>
        </is>
      </c>
      <c r="P774" t="inlineStr">
        <is>
          <t>nyu</t>
        </is>
      </c>
      <c r="R774" t="inlineStr">
        <is>
          <t xml:space="preserve">BF </t>
        </is>
      </c>
      <c r="S774" t="n">
        <v>3</v>
      </c>
      <c r="T774" t="n">
        <v>3</v>
      </c>
      <c r="U774" t="inlineStr">
        <is>
          <t>2005-09-02</t>
        </is>
      </c>
      <c r="V774" t="inlineStr">
        <is>
          <t>2005-09-02</t>
        </is>
      </c>
      <c r="W774" t="inlineStr">
        <is>
          <t>1991-04-17</t>
        </is>
      </c>
      <c r="X774" t="inlineStr">
        <is>
          <t>1991-04-17</t>
        </is>
      </c>
      <c r="Y774" t="n">
        <v>686</v>
      </c>
      <c r="Z774" t="n">
        <v>580</v>
      </c>
      <c r="AA774" t="n">
        <v>594</v>
      </c>
      <c r="AB774" t="n">
        <v>5</v>
      </c>
      <c r="AC774" t="n">
        <v>5</v>
      </c>
      <c r="AD774" t="n">
        <v>30</v>
      </c>
      <c r="AE774" t="n">
        <v>32</v>
      </c>
      <c r="AF774" t="n">
        <v>14</v>
      </c>
      <c r="AG774" t="n">
        <v>14</v>
      </c>
      <c r="AH774" t="n">
        <v>6</v>
      </c>
      <c r="AI774" t="n">
        <v>7</v>
      </c>
      <c r="AJ774" t="n">
        <v>15</v>
      </c>
      <c r="AK774" t="n">
        <v>15</v>
      </c>
      <c r="AL774" t="n">
        <v>4</v>
      </c>
      <c r="AM774" t="n">
        <v>4</v>
      </c>
      <c r="AN774" t="n">
        <v>0</v>
      </c>
      <c r="AO774" t="n">
        <v>1</v>
      </c>
      <c r="AP774" t="inlineStr">
        <is>
          <t>No</t>
        </is>
      </c>
      <c r="AQ774" t="inlineStr">
        <is>
          <t>No</t>
        </is>
      </c>
      <c r="AS774">
        <f>HYPERLINK("https://creighton-primo.hosted.exlibrisgroup.com/primo-explore/search?tab=default_tab&amp;search_scope=EVERYTHING&amp;vid=01CRU&amp;lang=en_US&amp;offset=0&amp;query=any,contains,991001637709702656","Catalog Record")</f>
        <v/>
      </c>
      <c r="AT774">
        <f>HYPERLINK("http://www.worldcat.org/oclc/20992818","WorldCat Record")</f>
        <v/>
      </c>
      <c r="AU774" t="inlineStr">
        <is>
          <t>8960756735:eng</t>
        </is>
      </c>
      <c r="AV774" t="inlineStr">
        <is>
          <t>20992818</t>
        </is>
      </c>
      <c r="AW774" t="inlineStr">
        <is>
          <t>991001637709702656</t>
        </is>
      </c>
      <c r="AX774" t="inlineStr">
        <is>
          <t>991001637709702656</t>
        </is>
      </c>
      <c r="AY774" t="inlineStr">
        <is>
          <t>2269979090002656</t>
        </is>
      </c>
      <c r="AZ774" t="inlineStr">
        <is>
          <t>BOOK</t>
        </is>
      </c>
      <c r="BB774" t="inlineStr">
        <is>
          <t>9780898625288</t>
        </is>
      </c>
      <c r="BC774" t="inlineStr">
        <is>
          <t>32285000568575</t>
        </is>
      </c>
      <c r="BD774" t="inlineStr">
        <is>
          <t>893516353</t>
        </is>
      </c>
    </row>
    <row r="775">
      <c r="A775" t="inlineStr">
        <is>
          <t>No</t>
        </is>
      </c>
      <c r="B775" t="inlineStr">
        <is>
          <t>BF637.C58 C66 1982</t>
        </is>
      </c>
      <c r="C775" t="inlineStr">
        <is>
          <t>0                      BF 0637000C  58                 C  66          1982</t>
        </is>
      </c>
      <c r="D775" t="inlineStr">
        <is>
          <t>Cooperation and competition in humans and animals / edited by Andrew M. Colman.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L775" t="inlineStr">
        <is>
          <t>Wokingham, Berkshire, England : Van Nostrand Reinhold (UK), c1982.</t>
        </is>
      </c>
      <c r="M775" t="inlineStr">
        <is>
          <t>1982</t>
        </is>
      </c>
      <c r="O775" t="inlineStr">
        <is>
          <t>eng</t>
        </is>
      </c>
      <c r="P775" t="inlineStr">
        <is>
          <t>enk</t>
        </is>
      </c>
      <c r="Q775" t="inlineStr">
        <is>
          <t>The Comparative psychology of animals and humans</t>
        </is>
      </c>
      <c r="R775" t="inlineStr">
        <is>
          <t xml:space="preserve">BF </t>
        </is>
      </c>
      <c r="S775" t="n">
        <v>3</v>
      </c>
      <c r="T775" t="n">
        <v>3</v>
      </c>
      <c r="U775" t="inlineStr">
        <is>
          <t>2007-11-03</t>
        </is>
      </c>
      <c r="V775" t="inlineStr">
        <is>
          <t>2007-11-03</t>
        </is>
      </c>
      <c r="W775" t="inlineStr">
        <is>
          <t>1993-04-01</t>
        </is>
      </c>
      <c r="X775" t="inlineStr">
        <is>
          <t>1993-04-01</t>
        </is>
      </c>
      <c r="Y775" t="n">
        <v>274</v>
      </c>
      <c r="Z775" t="n">
        <v>194</v>
      </c>
      <c r="AA775" t="n">
        <v>210</v>
      </c>
      <c r="AB775" t="n">
        <v>2</v>
      </c>
      <c r="AC775" t="n">
        <v>2</v>
      </c>
      <c r="AD775" t="n">
        <v>6</v>
      </c>
      <c r="AE775" t="n">
        <v>6</v>
      </c>
      <c r="AF775" t="n">
        <v>1</v>
      </c>
      <c r="AG775" t="n">
        <v>1</v>
      </c>
      <c r="AH775" t="n">
        <v>4</v>
      </c>
      <c r="AI775" t="n">
        <v>4</v>
      </c>
      <c r="AJ775" t="n">
        <v>2</v>
      </c>
      <c r="AK775" t="n">
        <v>2</v>
      </c>
      <c r="AL775" t="n">
        <v>1</v>
      </c>
      <c r="AM775" t="n">
        <v>1</v>
      </c>
      <c r="AN775" t="n">
        <v>0</v>
      </c>
      <c r="AO775" t="n">
        <v>0</v>
      </c>
      <c r="AP775" t="inlineStr">
        <is>
          <t>No</t>
        </is>
      </c>
      <c r="AQ775" t="inlineStr">
        <is>
          <t>Yes</t>
        </is>
      </c>
      <c r="AR775">
        <f>HYPERLINK("http://catalog.hathitrust.org/Record/000194989","HathiTrust Record")</f>
        <v/>
      </c>
      <c r="AS775">
        <f>HYPERLINK("https://creighton-primo.hosted.exlibrisgroup.com/primo-explore/search?tab=default_tab&amp;search_scope=EVERYTHING&amp;vid=01CRU&amp;lang=en_US&amp;offset=0&amp;query=any,contains,991005240229702656","Catalog Record")</f>
        <v/>
      </c>
      <c r="AT775">
        <f>HYPERLINK("http://www.worldcat.org/oclc/8410344","WorldCat Record")</f>
        <v/>
      </c>
      <c r="AU775" t="inlineStr">
        <is>
          <t>54495249:eng</t>
        </is>
      </c>
      <c r="AV775" t="inlineStr">
        <is>
          <t>8410344</t>
        </is>
      </c>
      <c r="AW775" t="inlineStr">
        <is>
          <t>991005240229702656</t>
        </is>
      </c>
      <c r="AX775" t="inlineStr">
        <is>
          <t>991005240229702656</t>
        </is>
      </c>
      <c r="AY775" t="inlineStr">
        <is>
          <t>2259226580002656</t>
        </is>
      </c>
      <c r="AZ775" t="inlineStr">
        <is>
          <t>BOOK</t>
        </is>
      </c>
      <c r="BB775" t="inlineStr">
        <is>
          <t>9780442305215</t>
        </is>
      </c>
      <c r="BC775" t="inlineStr">
        <is>
          <t>32285001598175</t>
        </is>
      </c>
      <c r="BD775" t="inlineStr">
        <is>
          <t>893789666</t>
        </is>
      </c>
    </row>
    <row r="776">
      <c r="A776" t="inlineStr">
        <is>
          <t>No</t>
        </is>
      </c>
      <c r="B776" t="inlineStr">
        <is>
          <t>BF637.C6 A37</t>
        </is>
      </c>
      <c r="C776" t="inlineStr">
        <is>
          <t>0                      BF 0637000C  6                  A  37</t>
        </is>
      </c>
      <c r="D776" t="inlineStr">
        <is>
          <t>Dimensions of effective counseling : cognitive flexibility and psychological openness in counselor selection / [by] Thomas W. Allen and John M. Whiteley.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Allen, Thomas W. (Thomas Wakefield)</t>
        </is>
      </c>
      <c r="L776" t="inlineStr">
        <is>
          <t>Columbus, Ohio : Merrill, [1968]</t>
        </is>
      </c>
      <c r="M776" t="inlineStr">
        <is>
          <t>1968</t>
        </is>
      </c>
      <c r="O776" t="inlineStr">
        <is>
          <t>eng</t>
        </is>
      </c>
      <c r="P776" t="inlineStr">
        <is>
          <t>ohu</t>
        </is>
      </c>
      <c r="Q776" t="inlineStr">
        <is>
          <t>Explorations in counseling series</t>
        </is>
      </c>
      <c r="R776" t="inlineStr">
        <is>
          <t xml:space="preserve">BF </t>
        </is>
      </c>
      <c r="S776" t="n">
        <v>4</v>
      </c>
      <c r="T776" t="n">
        <v>4</v>
      </c>
      <c r="U776" t="inlineStr">
        <is>
          <t>1993-10-18</t>
        </is>
      </c>
      <c r="V776" t="inlineStr">
        <is>
          <t>1993-10-18</t>
        </is>
      </c>
      <c r="W776" t="inlineStr">
        <is>
          <t>1990-07-17</t>
        </is>
      </c>
      <c r="X776" t="inlineStr">
        <is>
          <t>1990-07-17</t>
        </is>
      </c>
      <c r="Y776" t="n">
        <v>313</v>
      </c>
      <c r="Z776" t="n">
        <v>266</v>
      </c>
      <c r="AA776" t="n">
        <v>268</v>
      </c>
      <c r="AB776" t="n">
        <v>3</v>
      </c>
      <c r="AC776" t="n">
        <v>3</v>
      </c>
      <c r="AD776" t="n">
        <v>12</v>
      </c>
      <c r="AE776" t="n">
        <v>12</v>
      </c>
      <c r="AF776" t="n">
        <v>4</v>
      </c>
      <c r="AG776" t="n">
        <v>4</v>
      </c>
      <c r="AH776" t="n">
        <v>0</v>
      </c>
      <c r="AI776" t="n">
        <v>0</v>
      </c>
      <c r="AJ776" t="n">
        <v>8</v>
      </c>
      <c r="AK776" t="n">
        <v>8</v>
      </c>
      <c r="AL776" t="n">
        <v>2</v>
      </c>
      <c r="AM776" t="n">
        <v>2</v>
      </c>
      <c r="AN776" t="n">
        <v>0</v>
      </c>
      <c r="AO776" t="n">
        <v>0</v>
      </c>
      <c r="AP776" t="inlineStr">
        <is>
          <t>No</t>
        </is>
      </c>
      <c r="AQ776" t="inlineStr">
        <is>
          <t>Yes</t>
        </is>
      </c>
      <c r="AR776">
        <f>HYPERLINK("http://catalog.hathitrust.org/Record/000387422","HathiTrust Record")</f>
        <v/>
      </c>
      <c r="AS776">
        <f>HYPERLINK("https://creighton-primo.hosted.exlibrisgroup.com/primo-explore/search?tab=default_tab&amp;search_scope=EVERYTHING&amp;vid=01CRU&amp;lang=en_US&amp;offset=0&amp;query=any,contains,991001366059702656","Catalog Record")</f>
        <v/>
      </c>
      <c r="AT776">
        <f>HYPERLINK("http://www.worldcat.org/oclc/222581","WorldCat Record")</f>
        <v/>
      </c>
      <c r="AU776" t="inlineStr">
        <is>
          <t>295883161:eng</t>
        </is>
      </c>
      <c r="AV776" t="inlineStr">
        <is>
          <t>222581</t>
        </is>
      </c>
      <c r="AW776" t="inlineStr">
        <is>
          <t>991001366059702656</t>
        </is>
      </c>
      <c r="AX776" t="inlineStr">
        <is>
          <t>991001366059702656</t>
        </is>
      </c>
      <c r="AY776" t="inlineStr">
        <is>
          <t>2262234490002656</t>
        </is>
      </c>
      <c r="AZ776" t="inlineStr">
        <is>
          <t>BOOK</t>
        </is>
      </c>
      <c r="BC776" t="inlineStr">
        <is>
          <t>32285000232206</t>
        </is>
      </c>
      <c r="BD776" t="inlineStr">
        <is>
          <t>893509570</t>
        </is>
      </c>
    </row>
    <row r="777">
      <c r="A777" t="inlineStr">
        <is>
          <t>No</t>
        </is>
      </c>
      <c r="B777" t="inlineStr">
        <is>
          <t>BF637.C6 A37 1996</t>
        </is>
      </c>
      <c r="C777" t="inlineStr">
        <is>
          <t>0                      BF 0637000C  6                  A  37          1996</t>
        </is>
      </c>
      <c r="D777" t="inlineStr">
        <is>
          <t>ACA ethical standards casebook / Barbara Herlihy, Gerald Corey.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Herlihy, Barbara.</t>
        </is>
      </c>
      <c r="L777" t="inlineStr">
        <is>
          <t>Alexandria, VA : American Counseling Association, c1996.</t>
        </is>
      </c>
      <c r="M777" t="inlineStr">
        <is>
          <t>1996</t>
        </is>
      </c>
      <c r="N777" t="inlineStr">
        <is>
          <t>5th ed.</t>
        </is>
      </c>
      <c r="O777" t="inlineStr">
        <is>
          <t>eng</t>
        </is>
      </c>
      <c r="P777" t="inlineStr">
        <is>
          <t>vau</t>
        </is>
      </c>
      <c r="R777" t="inlineStr">
        <is>
          <t xml:space="preserve">BF </t>
        </is>
      </c>
      <c r="S777" t="n">
        <v>0</v>
      </c>
      <c r="T777" t="n">
        <v>0</v>
      </c>
      <c r="U777" t="inlineStr">
        <is>
          <t>2001-03-15</t>
        </is>
      </c>
      <c r="V777" t="inlineStr">
        <is>
          <t>2001-03-15</t>
        </is>
      </c>
      <c r="W777" t="inlineStr">
        <is>
          <t>2000-02-29</t>
        </is>
      </c>
      <c r="X777" t="inlineStr">
        <is>
          <t>2000-02-29</t>
        </is>
      </c>
      <c r="Y777" t="n">
        <v>230</v>
      </c>
      <c r="Z777" t="n">
        <v>200</v>
      </c>
      <c r="AA777" t="n">
        <v>821</v>
      </c>
      <c r="AB777" t="n">
        <v>1</v>
      </c>
      <c r="AC777" t="n">
        <v>8</v>
      </c>
      <c r="AD777" t="n">
        <v>12</v>
      </c>
      <c r="AE777" t="n">
        <v>46</v>
      </c>
      <c r="AF777" t="n">
        <v>8</v>
      </c>
      <c r="AG777" t="n">
        <v>20</v>
      </c>
      <c r="AH777" t="n">
        <v>1</v>
      </c>
      <c r="AI777" t="n">
        <v>8</v>
      </c>
      <c r="AJ777" t="n">
        <v>6</v>
      </c>
      <c r="AK777" t="n">
        <v>20</v>
      </c>
      <c r="AL777" t="n">
        <v>0</v>
      </c>
      <c r="AM777" t="n">
        <v>7</v>
      </c>
      <c r="AN777" t="n">
        <v>1</v>
      </c>
      <c r="AO777" t="n">
        <v>2</v>
      </c>
      <c r="AP777" t="inlineStr">
        <is>
          <t>No</t>
        </is>
      </c>
      <c r="AQ777" t="inlineStr">
        <is>
          <t>Yes</t>
        </is>
      </c>
      <c r="AR777">
        <f>HYPERLINK("http://catalog.hathitrust.org/Record/004156678","HathiTrust Record")</f>
        <v/>
      </c>
      <c r="AS777">
        <f>HYPERLINK("https://creighton-primo.hosted.exlibrisgroup.com/primo-explore/search?tab=default_tab&amp;search_scope=EVERYTHING&amp;vid=01CRU&amp;lang=en_US&amp;offset=0&amp;query=any,contains,991002557979702656","Catalog Record")</f>
        <v/>
      </c>
      <c r="AT777">
        <f>HYPERLINK("http://www.worldcat.org/oclc/33245056","WorldCat Record")</f>
        <v/>
      </c>
      <c r="AU777" t="inlineStr">
        <is>
          <t>38371116:eng</t>
        </is>
      </c>
      <c r="AV777" t="inlineStr">
        <is>
          <t>33245056</t>
        </is>
      </c>
      <c r="AW777" t="inlineStr">
        <is>
          <t>991002557979702656</t>
        </is>
      </c>
      <c r="AX777" t="inlineStr">
        <is>
          <t>991002557979702656</t>
        </is>
      </c>
      <c r="AY777" t="inlineStr">
        <is>
          <t>2256918710002656</t>
        </is>
      </c>
      <c r="AZ777" t="inlineStr">
        <is>
          <t>BOOK</t>
        </is>
      </c>
      <c r="BB777" t="inlineStr">
        <is>
          <t>9781556201509</t>
        </is>
      </c>
      <c r="BC777" t="inlineStr">
        <is>
          <t>32285003665469</t>
        </is>
      </c>
      <c r="BD777" t="inlineStr">
        <is>
          <t>893697952</t>
        </is>
      </c>
    </row>
    <row r="778">
      <c r="A778" t="inlineStr">
        <is>
          <t>No</t>
        </is>
      </c>
      <c r="B778" t="inlineStr">
        <is>
          <t>BF637.C6 A48 1984</t>
        </is>
      </c>
      <c r="C778" t="inlineStr">
        <is>
          <t>0                      BF 0637000C  6                  A  48          1984</t>
        </is>
      </c>
      <c r="D778" t="inlineStr">
        <is>
          <t>Counseling through group process / Joseph Anderson.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Anderson, Joseph, 1941-</t>
        </is>
      </c>
      <c r="L778" t="inlineStr">
        <is>
          <t>New York : Springer, c1984.</t>
        </is>
      </c>
      <c r="M778" t="inlineStr">
        <is>
          <t>1984</t>
        </is>
      </c>
      <c r="O778" t="inlineStr">
        <is>
          <t>eng</t>
        </is>
      </c>
      <c r="P778" t="inlineStr">
        <is>
          <t>nyu</t>
        </is>
      </c>
      <c r="R778" t="inlineStr">
        <is>
          <t xml:space="preserve">BF </t>
        </is>
      </c>
      <c r="S778" t="n">
        <v>3</v>
      </c>
      <c r="T778" t="n">
        <v>3</v>
      </c>
      <c r="U778" t="inlineStr">
        <is>
          <t>1998-02-22</t>
        </is>
      </c>
      <c r="V778" t="inlineStr">
        <is>
          <t>1998-02-22</t>
        </is>
      </c>
      <c r="W778" t="inlineStr">
        <is>
          <t>1992-04-30</t>
        </is>
      </c>
      <c r="X778" t="inlineStr">
        <is>
          <t>1992-04-30</t>
        </is>
      </c>
      <c r="Y778" t="n">
        <v>408</v>
      </c>
      <c r="Z778" t="n">
        <v>352</v>
      </c>
      <c r="AA778" t="n">
        <v>354</v>
      </c>
      <c r="AB778" t="n">
        <v>4</v>
      </c>
      <c r="AC778" t="n">
        <v>4</v>
      </c>
      <c r="AD778" t="n">
        <v>15</v>
      </c>
      <c r="AE778" t="n">
        <v>15</v>
      </c>
      <c r="AF778" t="n">
        <v>4</v>
      </c>
      <c r="AG778" t="n">
        <v>4</v>
      </c>
      <c r="AH778" t="n">
        <v>4</v>
      </c>
      <c r="AI778" t="n">
        <v>4</v>
      </c>
      <c r="AJ778" t="n">
        <v>7</v>
      </c>
      <c r="AK778" t="n">
        <v>7</v>
      </c>
      <c r="AL778" t="n">
        <v>3</v>
      </c>
      <c r="AM778" t="n">
        <v>3</v>
      </c>
      <c r="AN778" t="n">
        <v>0</v>
      </c>
      <c r="AO778" t="n">
        <v>0</v>
      </c>
      <c r="AP778" t="inlineStr">
        <is>
          <t>No</t>
        </is>
      </c>
      <c r="AQ778" t="inlineStr">
        <is>
          <t>Yes</t>
        </is>
      </c>
      <c r="AR778">
        <f>HYPERLINK("http://catalog.hathitrust.org/Record/000464765","HathiTrust Record")</f>
        <v/>
      </c>
      <c r="AS778">
        <f>HYPERLINK("https://creighton-primo.hosted.exlibrisgroup.com/primo-explore/search?tab=default_tab&amp;search_scope=EVERYTHING&amp;vid=01CRU&amp;lang=en_US&amp;offset=0&amp;query=any,contains,991005265559702656","Catalog Record")</f>
        <v/>
      </c>
      <c r="AT778">
        <f>HYPERLINK("http://www.worldcat.org/oclc/10133791","WorldCat Record")</f>
        <v/>
      </c>
      <c r="AU778" t="inlineStr">
        <is>
          <t>967166:eng</t>
        </is>
      </c>
      <c r="AV778" t="inlineStr">
        <is>
          <t>10133791</t>
        </is>
      </c>
      <c r="AW778" t="inlineStr">
        <is>
          <t>991005265559702656</t>
        </is>
      </c>
      <c r="AX778" t="inlineStr">
        <is>
          <t>991005265559702656</t>
        </is>
      </c>
      <c r="AY778" t="inlineStr">
        <is>
          <t>2271691290002656</t>
        </is>
      </c>
      <c r="AZ778" t="inlineStr">
        <is>
          <t>BOOK</t>
        </is>
      </c>
      <c r="BB778" t="inlineStr">
        <is>
          <t>9780826146205</t>
        </is>
      </c>
      <c r="BC778" t="inlineStr">
        <is>
          <t>32285001104842</t>
        </is>
      </c>
      <c r="BD778" t="inlineStr">
        <is>
          <t>893418651</t>
        </is>
      </c>
    </row>
    <row r="779">
      <c r="A779" t="inlineStr">
        <is>
          <t>No</t>
        </is>
      </c>
      <c r="B779" t="inlineStr">
        <is>
          <t>BF637.C6 A67 1970</t>
        </is>
      </c>
      <c r="C779" t="inlineStr">
        <is>
          <t>0                      BF 0637000C  6                  A  67          1970</t>
        </is>
      </c>
      <c r="D779" t="inlineStr">
        <is>
          <t>Counseling: philosophy, theory, and practice [by] Dugald S. Arbuckle.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Yes</t>
        </is>
      </c>
      <c r="J779" t="inlineStr">
        <is>
          <t>0</t>
        </is>
      </c>
      <c r="K779" t="inlineStr">
        <is>
          <t>Arbuckle, Dugald S. (Dugald Sinclair), 1912-</t>
        </is>
      </c>
      <c r="L779" t="inlineStr">
        <is>
          <t>Boston, Allyn and Bacon [1970]</t>
        </is>
      </c>
      <c r="M779" t="inlineStr">
        <is>
          <t>1970</t>
        </is>
      </c>
      <c r="N779" t="inlineStr">
        <is>
          <t>2d ed.</t>
        </is>
      </c>
      <c r="O779" t="inlineStr">
        <is>
          <t>eng</t>
        </is>
      </c>
      <c r="P779" t="inlineStr">
        <is>
          <t>mau</t>
        </is>
      </c>
      <c r="R779" t="inlineStr">
        <is>
          <t xml:space="preserve">BF </t>
        </is>
      </c>
      <c r="S779" t="n">
        <v>3</v>
      </c>
      <c r="T779" t="n">
        <v>3</v>
      </c>
      <c r="U779" t="inlineStr">
        <is>
          <t>1993-05-30</t>
        </is>
      </c>
      <c r="V779" t="inlineStr">
        <is>
          <t>1993-05-30</t>
        </is>
      </c>
      <c r="W779" t="inlineStr">
        <is>
          <t>1992-03-18</t>
        </is>
      </c>
      <c r="X779" t="inlineStr">
        <is>
          <t>1992-03-18</t>
        </is>
      </c>
      <c r="Y779" t="n">
        <v>301</v>
      </c>
      <c r="Z779" t="n">
        <v>256</v>
      </c>
      <c r="AA779" t="n">
        <v>518</v>
      </c>
      <c r="AB779" t="n">
        <v>4</v>
      </c>
      <c r="AC779" t="n">
        <v>4</v>
      </c>
      <c r="AD779" t="n">
        <v>12</v>
      </c>
      <c r="AE779" t="n">
        <v>28</v>
      </c>
      <c r="AF779" t="n">
        <v>7</v>
      </c>
      <c r="AG779" t="n">
        <v>15</v>
      </c>
      <c r="AH779" t="n">
        <v>2</v>
      </c>
      <c r="AI779" t="n">
        <v>6</v>
      </c>
      <c r="AJ779" t="n">
        <v>4</v>
      </c>
      <c r="AK779" t="n">
        <v>12</v>
      </c>
      <c r="AL779" t="n">
        <v>3</v>
      </c>
      <c r="AM779" t="n">
        <v>3</v>
      </c>
      <c r="AN779" t="n">
        <v>0</v>
      </c>
      <c r="AO779" t="n">
        <v>0</v>
      </c>
      <c r="AP779" t="inlineStr">
        <is>
          <t>No</t>
        </is>
      </c>
      <c r="AQ779" t="inlineStr">
        <is>
          <t>No</t>
        </is>
      </c>
      <c r="AS779">
        <f>HYPERLINK("https://creighton-primo.hosted.exlibrisgroup.com/primo-explore/search?tab=default_tab&amp;search_scope=EVERYTHING&amp;vid=01CRU&amp;lang=en_US&amp;offset=0&amp;query=any,contains,991000455449702656","Catalog Record")</f>
        <v/>
      </c>
      <c r="AT779">
        <f>HYPERLINK("http://www.worldcat.org/oclc/78067","WorldCat Record")</f>
        <v/>
      </c>
      <c r="AU779" t="inlineStr">
        <is>
          <t>1358935:eng</t>
        </is>
      </c>
      <c r="AV779" t="inlineStr">
        <is>
          <t>78067</t>
        </is>
      </c>
      <c r="AW779" t="inlineStr">
        <is>
          <t>991000455449702656</t>
        </is>
      </c>
      <c r="AX779" t="inlineStr">
        <is>
          <t>991000455449702656</t>
        </is>
      </c>
      <c r="AY779" t="inlineStr">
        <is>
          <t>2254749930002656</t>
        </is>
      </c>
      <c r="AZ779" t="inlineStr">
        <is>
          <t>BOOK</t>
        </is>
      </c>
      <c r="BC779" t="inlineStr">
        <is>
          <t>32285000529163</t>
        </is>
      </c>
      <c r="BD779" t="inlineStr">
        <is>
          <t>893683422</t>
        </is>
      </c>
    </row>
    <row r="780">
      <c r="A780" t="inlineStr">
        <is>
          <t>No</t>
        </is>
      </c>
      <c r="B780" t="inlineStr">
        <is>
          <t>BF637.C6 A83 1984</t>
        </is>
      </c>
      <c r="C780" t="inlineStr">
        <is>
          <t>0                      BF 0637000C  6                  A  83          1984</t>
        </is>
      </c>
      <c r="D780" t="inlineStr">
        <is>
          <t>Counseling : an introduction for the health and human services / C. Dwight Auvenshine, Anne-Russell L. Noffsinger.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Auvenshine, C. Dwight (Charles Dwight), 1929-</t>
        </is>
      </c>
      <c r="L780" t="inlineStr">
        <is>
          <t>Baltimore : University Park Press, c1984.</t>
        </is>
      </c>
      <c r="M780" t="inlineStr">
        <is>
          <t>1983</t>
        </is>
      </c>
      <c r="O780" t="inlineStr">
        <is>
          <t>eng</t>
        </is>
      </c>
      <c r="P780" t="inlineStr">
        <is>
          <t>mdu</t>
        </is>
      </c>
      <c r="R780" t="inlineStr">
        <is>
          <t xml:space="preserve">BF </t>
        </is>
      </c>
      <c r="S780" t="n">
        <v>1</v>
      </c>
      <c r="T780" t="n">
        <v>1</v>
      </c>
      <c r="U780" t="inlineStr">
        <is>
          <t>1992-06-09</t>
        </is>
      </c>
      <c r="V780" t="inlineStr">
        <is>
          <t>1992-06-09</t>
        </is>
      </c>
      <c r="W780" t="inlineStr">
        <is>
          <t>1990-03-14</t>
        </is>
      </c>
      <c r="X780" t="inlineStr">
        <is>
          <t>1990-03-14</t>
        </is>
      </c>
      <c r="Y780" t="n">
        <v>196</v>
      </c>
      <c r="Z780" t="n">
        <v>167</v>
      </c>
      <c r="AA780" t="n">
        <v>172</v>
      </c>
      <c r="AB780" t="n">
        <v>3</v>
      </c>
      <c r="AC780" t="n">
        <v>3</v>
      </c>
      <c r="AD780" t="n">
        <v>11</v>
      </c>
      <c r="AE780" t="n">
        <v>12</v>
      </c>
      <c r="AF780" t="n">
        <v>3</v>
      </c>
      <c r="AG780" t="n">
        <v>4</v>
      </c>
      <c r="AH780" t="n">
        <v>2</v>
      </c>
      <c r="AI780" t="n">
        <v>2</v>
      </c>
      <c r="AJ780" t="n">
        <v>7</v>
      </c>
      <c r="AK780" t="n">
        <v>8</v>
      </c>
      <c r="AL780" t="n">
        <v>2</v>
      </c>
      <c r="AM780" t="n">
        <v>2</v>
      </c>
      <c r="AN780" t="n">
        <v>0</v>
      </c>
      <c r="AO780" t="n">
        <v>0</v>
      </c>
      <c r="AP780" t="inlineStr">
        <is>
          <t>No</t>
        </is>
      </c>
      <c r="AQ780" t="inlineStr">
        <is>
          <t>No</t>
        </is>
      </c>
      <c r="AS780">
        <f>HYPERLINK("https://creighton-primo.hosted.exlibrisgroup.com/primo-explore/search?tab=default_tab&amp;search_scope=EVERYTHING&amp;vid=01CRU&amp;lang=en_US&amp;offset=0&amp;query=any,contains,991000202539702656","Catalog Record")</f>
        <v/>
      </c>
      <c r="AT780">
        <f>HYPERLINK("http://www.worldcat.org/oclc/9465876","WorldCat Record")</f>
        <v/>
      </c>
      <c r="AU780" t="inlineStr">
        <is>
          <t>427839804:eng</t>
        </is>
      </c>
      <c r="AV780" t="inlineStr">
        <is>
          <t>9465876</t>
        </is>
      </c>
      <c r="AW780" t="inlineStr">
        <is>
          <t>991000202539702656</t>
        </is>
      </c>
      <c r="AX780" t="inlineStr">
        <is>
          <t>991000202539702656</t>
        </is>
      </c>
      <c r="AY780" t="inlineStr">
        <is>
          <t>2264557360002656</t>
        </is>
      </c>
      <c r="AZ780" t="inlineStr">
        <is>
          <t>BOOK</t>
        </is>
      </c>
      <c r="BB780" t="inlineStr">
        <is>
          <t>9780839117933</t>
        </is>
      </c>
      <c r="BC780" t="inlineStr">
        <is>
          <t>32285000084300</t>
        </is>
      </c>
      <c r="BD780" t="inlineStr">
        <is>
          <t>893771469</t>
        </is>
      </c>
    </row>
    <row r="781">
      <c r="A781" t="inlineStr">
        <is>
          <t>No</t>
        </is>
      </c>
      <c r="B781" t="inlineStr">
        <is>
          <t>BF637.C6 B32</t>
        </is>
      </c>
      <c r="C781" t="inlineStr">
        <is>
          <t>0                      BF 0637000C  6                  B  32</t>
        </is>
      </c>
      <c r="D781" t="inlineStr">
        <is>
          <t>Guidelines for guidance : readings in the philosophy of guidance / [by] Carlton E. Beck.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Beck, Carlton E.</t>
        </is>
      </c>
      <c r="L781" t="inlineStr">
        <is>
          <t>Dubuque, Iowa : W. C. Brown Co., [1966]</t>
        </is>
      </c>
      <c r="M781" t="inlineStr">
        <is>
          <t>1966</t>
        </is>
      </c>
      <c r="O781" t="inlineStr">
        <is>
          <t>eng</t>
        </is>
      </c>
      <c r="P781" t="inlineStr">
        <is>
          <t>iau</t>
        </is>
      </c>
      <c r="Q781" t="inlineStr">
        <is>
          <t>Brown education series</t>
        </is>
      </c>
      <c r="R781" t="inlineStr">
        <is>
          <t xml:space="preserve">BF </t>
        </is>
      </c>
      <c r="S781" t="n">
        <v>1</v>
      </c>
      <c r="T781" t="n">
        <v>1</v>
      </c>
      <c r="U781" t="inlineStr">
        <is>
          <t>1993-11-15</t>
        </is>
      </c>
      <c r="V781" t="inlineStr">
        <is>
          <t>1993-11-15</t>
        </is>
      </c>
      <c r="W781" t="inlineStr">
        <is>
          <t>1993-11-11</t>
        </is>
      </c>
      <c r="X781" t="inlineStr">
        <is>
          <t>1993-11-11</t>
        </is>
      </c>
      <c r="Y781" t="n">
        <v>313</v>
      </c>
      <c r="Z781" t="n">
        <v>285</v>
      </c>
      <c r="AA781" t="n">
        <v>287</v>
      </c>
      <c r="AB781" t="n">
        <v>3</v>
      </c>
      <c r="AC781" t="n">
        <v>3</v>
      </c>
      <c r="AD781" t="n">
        <v>15</v>
      </c>
      <c r="AE781" t="n">
        <v>15</v>
      </c>
      <c r="AF781" t="n">
        <v>5</v>
      </c>
      <c r="AG781" t="n">
        <v>5</v>
      </c>
      <c r="AH781" t="n">
        <v>5</v>
      </c>
      <c r="AI781" t="n">
        <v>5</v>
      </c>
      <c r="AJ781" t="n">
        <v>9</v>
      </c>
      <c r="AK781" t="n">
        <v>9</v>
      </c>
      <c r="AL781" t="n">
        <v>2</v>
      </c>
      <c r="AM781" t="n">
        <v>2</v>
      </c>
      <c r="AN781" t="n">
        <v>0</v>
      </c>
      <c r="AO781" t="n">
        <v>0</v>
      </c>
      <c r="AP781" t="inlineStr">
        <is>
          <t>No</t>
        </is>
      </c>
      <c r="AQ781" t="inlineStr">
        <is>
          <t>Yes</t>
        </is>
      </c>
      <c r="AR781">
        <f>HYPERLINK("http://catalog.hathitrust.org/Record/000387427","HathiTrust Record")</f>
        <v/>
      </c>
      <c r="AS781">
        <f>HYPERLINK("https://creighton-primo.hosted.exlibrisgroup.com/primo-explore/search?tab=default_tab&amp;search_scope=EVERYTHING&amp;vid=01CRU&amp;lang=en_US&amp;offset=0&amp;query=any,contains,991001366869702656","Catalog Record")</f>
        <v/>
      </c>
      <c r="AT781">
        <f>HYPERLINK("http://www.worldcat.org/oclc/222729","WorldCat Record")</f>
        <v/>
      </c>
      <c r="AU781" t="inlineStr">
        <is>
          <t>293843588:eng</t>
        </is>
      </c>
      <c r="AV781" t="inlineStr">
        <is>
          <t>222729</t>
        </is>
      </c>
      <c r="AW781" t="inlineStr">
        <is>
          <t>991001366869702656</t>
        </is>
      </c>
      <c r="AX781" t="inlineStr">
        <is>
          <t>991001366869702656</t>
        </is>
      </c>
      <c r="AY781" t="inlineStr">
        <is>
          <t>2262302920002656</t>
        </is>
      </c>
      <c r="AZ781" t="inlineStr">
        <is>
          <t>BOOK</t>
        </is>
      </c>
      <c r="BC781" t="inlineStr">
        <is>
          <t>32285001812162</t>
        </is>
      </c>
      <c r="BD781" t="inlineStr">
        <is>
          <t>893250190</t>
        </is>
      </c>
    </row>
    <row r="782">
      <c r="A782" t="inlineStr">
        <is>
          <t>No</t>
        </is>
      </c>
      <c r="B782" t="inlineStr">
        <is>
          <t>BF637.C6 B33</t>
        </is>
      </c>
      <c r="C782" t="inlineStr">
        <is>
          <t>0                      BF 0637000C  6                  B  33</t>
        </is>
      </c>
      <c r="D782" t="inlineStr">
        <is>
          <t>Philosophical foundations of guidance.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Beck, Carlton E.</t>
        </is>
      </c>
      <c r="L782" t="inlineStr">
        <is>
          <t>Englewood Cliff, N.J., Prentice-Hall [1963]</t>
        </is>
      </c>
      <c r="M782" t="inlineStr">
        <is>
          <t>1963</t>
        </is>
      </c>
      <c r="O782" t="inlineStr">
        <is>
          <t>eng</t>
        </is>
      </c>
      <c r="P782" t="inlineStr">
        <is>
          <t>nju</t>
        </is>
      </c>
      <c r="R782" t="inlineStr">
        <is>
          <t xml:space="preserve">BF </t>
        </is>
      </c>
      <c r="S782" t="n">
        <v>1</v>
      </c>
      <c r="T782" t="n">
        <v>1</v>
      </c>
      <c r="U782" t="inlineStr">
        <is>
          <t>1995-03-09</t>
        </is>
      </c>
      <c r="V782" t="inlineStr">
        <is>
          <t>1995-03-09</t>
        </is>
      </c>
      <c r="W782" t="inlineStr">
        <is>
          <t>1995-05-01</t>
        </is>
      </c>
      <c r="X782" t="inlineStr">
        <is>
          <t>1995-05-01</t>
        </is>
      </c>
      <c r="Y782" t="n">
        <v>455</v>
      </c>
      <c r="Z782" t="n">
        <v>393</v>
      </c>
      <c r="AA782" t="n">
        <v>394</v>
      </c>
      <c r="AB782" t="n">
        <v>2</v>
      </c>
      <c r="AC782" t="n">
        <v>2</v>
      </c>
      <c r="AD782" t="n">
        <v>20</v>
      </c>
      <c r="AE782" t="n">
        <v>20</v>
      </c>
      <c r="AF782" t="n">
        <v>8</v>
      </c>
      <c r="AG782" t="n">
        <v>8</v>
      </c>
      <c r="AH782" t="n">
        <v>3</v>
      </c>
      <c r="AI782" t="n">
        <v>3</v>
      </c>
      <c r="AJ782" t="n">
        <v>16</v>
      </c>
      <c r="AK782" t="n">
        <v>16</v>
      </c>
      <c r="AL782" t="n">
        <v>1</v>
      </c>
      <c r="AM782" t="n">
        <v>1</v>
      </c>
      <c r="AN782" t="n">
        <v>0</v>
      </c>
      <c r="AO782" t="n">
        <v>0</v>
      </c>
      <c r="AP782" t="inlineStr">
        <is>
          <t>No</t>
        </is>
      </c>
      <c r="AQ782" t="inlineStr">
        <is>
          <t>No</t>
        </is>
      </c>
      <c r="AS782">
        <f>HYPERLINK("https://creighton-primo.hosted.exlibrisgroup.com/primo-explore/search?tab=default_tab&amp;search_scope=EVERYTHING&amp;vid=01CRU&amp;lang=en_US&amp;offset=0&amp;query=any,contains,991001215949702656","Catalog Record")</f>
        <v/>
      </c>
      <c r="AT782">
        <f>HYPERLINK("http://www.worldcat.org/oclc/194115","WorldCat Record")</f>
        <v/>
      </c>
      <c r="AU782" t="inlineStr">
        <is>
          <t>1358721:eng</t>
        </is>
      </c>
      <c r="AV782" t="inlineStr">
        <is>
          <t>194115</t>
        </is>
      </c>
      <c r="AW782" t="inlineStr">
        <is>
          <t>991001215949702656</t>
        </is>
      </c>
      <c r="AX782" t="inlineStr">
        <is>
          <t>991001215949702656</t>
        </is>
      </c>
      <c r="AY782" t="inlineStr">
        <is>
          <t>2269366930002656</t>
        </is>
      </c>
      <c r="AZ782" t="inlineStr">
        <is>
          <t>BOOK</t>
        </is>
      </c>
      <c r="BC782" t="inlineStr">
        <is>
          <t>32285002021136</t>
        </is>
      </c>
      <c r="BD782" t="inlineStr">
        <is>
          <t>893626608</t>
        </is>
      </c>
    </row>
    <row r="783">
      <c r="A783" t="inlineStr">
        <is>
          <t>No</t>
        </is>
      </c>
      <c r="B783" t="inlineStr">
        <is>
          <t>BF637.C6 B59 1982</t>
        </is>
      </c>
      <c r="C783" t="inlineStr">
        <is>
          <t>0                      BF 0637000C  6                  B  59          1982</t>
        </is>
      </c>
      <c r="D783" t="inlineStr">
        <is>
          <t>Learning counseling and problem-solving skills / Leslie E. Borck, Stephen B. Fawcett.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Borck, Leslie E.</t>
        </is>
      </c>
      <c r="L783" t="inlineStr">
        <is>
          <t>New York : Haworth Press, c1982.</t>
        </is>
      </c>
      <c r="M783" t="inlineStr">
        <is>
          <t>1982</t>
        </is>
      </c>
      <c r="O783" t="inlineStr">
        <is>
          <t>eng</t>
        </is>
      </c>
      <c r="P783" t="inlineStr">
        <is>
          <t>nyu</t>
        </is>
      </c>
      <c r="R783" t="inlineStr">
        <is>
          <t xml:space="preserve">BF </t>
        </is>
      </c>
      <c r="S783" t="n">
        <v>14</v>
      </c>
      <c r="T783" t="n">
        <v>14</v>
      </c>
      <c r="U783" t="inlineStr">
        <is>
          <t>1996-07-11</t>
        </is>
      </c>
      <c r="V783" t="inlineStr">
        <is>
          <t>1996-07-11</t>
        </is>
      </c>
      <c r="W783" t="inlineStr">
        <is>
          <t>1990-06-28</t>
        </is>
      </c>
      <c r="X783" t="inlineStr">
        <is>
          <t>1990-06-28</t>
        </is>
      </c>
      <c r="Y783" t="n">
        <v>332</v>
      </c>
      <c r="Z783" t="n">
        <v>256</v>
      </c>
      <c r="AA783" t="n">
        <v>279</v>
      </c>
      <c r="AB783" t="n">
        <v>4</v>
      </c>
      <c r="AC783" t="n">
        <v>5</v>
      </c>
      <c r="AD783" t="n">
        <v>5</v>
      </c>
      <c r="AE783" t="n">
        <v>6</v>
      </c>
      <c r="AF783" t="n">
        <v>1</v>
      </c>
      <c r="AG783" t="n">
        <v>1</v>
      </c>
      <c r="AH783" t="n">
        <v>1</v>
      </c>
      <c r="AI783" t="n">
        <v>1</v>
      </c>
      <c r="AJ783" t="n">
        <v>3</v>
      </c>
      <c r="AK783" t="n">
        <v>3</v>
      </c>
      <c r="AL783" t="n">
        <v>1</v>
      </c>
      <c r="AM783" t="n">
        <v>2</v>
      </c>
      <c r="AN783" t="n">
        <v>0</v>
      </c>
      <c r="AO783" t="n">
        <v>0</v>
      </c>
      <c r="AP783" t="inlineStr">
        <is>
          <t>No</t>
        </is>
      </c>
      <c r="AQ783" t="inlineStr">
        <is>
          <t>No</t>
        </is>
      </c>
      <c r="AS783">
        <f>HYPERLINK("https://creighton-primo.hosted.exlibrisgroup.com/primo-explore/search?tab=default_tab&amp;search_scope=EVERYTHING&amp;vid=01CRU&amp;lang=en_US&amp;offset=0&amp;query=any,contains,991005222779702656","Catalog Record")</f>
        <v/>
      </c>
      <c r="AT783">
        <f>HYPERLINK("http://www.worldcat.org/oclc/8243213","WorldCat Record")</f>
        <v/>
      </c>
      <c r="AU783" t="inlineStr">
        <is>
          <t>561778:eng</t>
        </is>
      </c>
      <c r="AV783" t="inlineStr">
        <is>
          <t>8243213</t>
        </is>
      </c>
      <c r="AW783" t="inlineStr">
        <is>
          <t>991005222779702656</t>
        </is>
      </c>
      <c r="AX783" t="inlineStr">
        <is>
          <t>991005222779702656</t>
        </is>
      </c>
      <c r="AY783" t="inlineStr">
        <is>
          <t>2264140800002656</t>
        </is>
      </c>
      <c r="AZ783" t="inlineStr">
        <is>
          <t>BOOK</t>
        </is>
      </c>
      <c r="BB783" t="inlineStr">
        <is>
          <t>9780917724305</t>
        </is>
      </c>
      <c r="BC783" t="inlineStr">
        <is>
          <t>32285000215391</t>
        </is>
      </c>
      <c r="BD783" t="inlineStr">
        <is>
          <t>893889890</t>
        </is>
      </c>
    </row>
    <row r="784">
      <c r="A784" t="inlineStr">
        <is>
          <t>No</t>
        </is>
      </c>
      <c r="B784" t="inlineStr">
        <is>
          <t>BF637.C6 B59 1982, Supp.</t>
        </is>
      </c>
      <c r="C784" t="inlineStr">
        <is>
          <t>0                      BF 0637000C  6                  B  59          1982                  Supp.</t>
        </is>
      </c>
      <c r="D784" t="inlineStr">
        <is>
          <t>Instructor's manual, Learning counseling and problem-solving skills / Leslie E. Borck, Stephen B. Fawcett.</t>
        </is>
      </c>
      <c r="E784" t="inlineStr">
        <is>
          <t>Supp.*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Borck, Leslie E.</t>
        </is>
      </c>
      <c r="L784" t="inlineStr">
        <is>
          <t>New York : Haworth Press, c1982.</t>
        </is>
      </c>
      <c r="M784" t="inlineStr">
        <is>
          <t>1982</t>
        </is>
      </c>
      <c r="O784" t="inlineStr">
        <is>
          <t>eng</t>
        </is>
      </c>
      <c r="P784" t="inlineStr">
        <is>
          <t>nyu</t>
        </is>
      </c>
      <c r="R784" t="inlineStr">
        <is>
          <t xml:space="preserve">BF </t>
        </is>
      </c>
      <c r="S784" t="n">
        <v>3</v>
      </c>
      <c r="T784" t="n">
        <v>3</v>
      </c>
      <c r="U784" t="inlineStr">
        <is>
          <t>1996-07-11</t>
        </is>
      </c>
      <c r="V784" t="inlineStr">
        <is>
          <t>1996-07-11</t>
        </is>
      </c>
      <c r="W784" t="inlineStr">
        <is>
          <t>1993-04-01</t>
        </is>
      </c>
      <c r="X784" t="inlineStr">
        <is>
          <t>1993-04-01</t>
        </is>
      </c>
      <c r="Y784" t="n">
        <v>85</v>
      </c>
      <c r="Z784" t="n">
        <v>72</v>
      </c>
      <c r="AA784" t="n">
        <v>72</v>
      </c>
      <c r="AB784" t="n">
        <v>1</v>
      </c>
      <c r="AC784" t="n">
        <v>1</v>
      </c>
      <c r="AD784" t="n">
        <v>2</v>
      </c>
      <c r="AE784" t="n">
        <v>2</v>
      </c>
      <c r="AF784" t="n">
        <v>1</v>
      </c>
      <c r="AG784" t="n">
        <v>1</v>
      </c>
      <c r="AH784" t="n">
        <v>1</v>
      </c>
      <c r="AI784" t="n">
        <v>1</v>
      </c>
      <c r="AJ784" t="n">
        <v>0</v>
      </c>
      <c r="AK784" t="n">
        <v>0</v>
      </c>
      <c r="AL784" t="n">
        <v>0</v>
      </c>
      <c r="AM784" t="n">
        <v>0</v>
      </c>
      <c r="AN784" t="n">
        <v>0</v>
      </c>
      <c r="AO784" t="n">
        <v>0</v>
      </c>
      <c r="AP784" t="inlineStr">
        <is>
          <t>No</t>
        </is>
      </c>
      <c r="AQ784" t="inlineStr">
        <is>
          <t>No</t>
        </is>
      </c>
      <c r="AS784">
        <f>HYPERLINK("https://creighton-primo.hosted.exlibrisgroup.com/primo-explore/search?tab=default_tab&amp;search_scope=EVERYTHING&amp;vid=01CRU&amp;lang=en_US&amp;offset=0&amp;query=any,contains,991000089439702656","Catalog Record")</f>
        <v/>
      </c>
      <c r="AT784">
        <f>HYPERLINK("http://www.worldcat.org/oclc/8889606","WorldCat Record")</f>
        <v/>
      </c>
      <c r="AU784" t="inlineStr">
        <is>
          <t>3862965153:eng</t>
        </is>
      </c>
      <c r="AV784" t="inlineStr">
        <is>
          <t>8889606</t>
        </is>
      </c>
      <c r="AW784" t="inlineStr">
        <is>
          <t>991000089439702656</t>
        </is>
      </c>
      <c r="AX784" t="inlineStr">
        <is>
          <t>991000089439702656</t>
        </is>
      </c>
      <c r="AY784" t="inlineStr">
        <is>
          <t>2265158860002656</t>
        </is>
      </c>
      <c r="AZ784" t="inlineStr">
        <is>
          <t>BOOK</t>
        </is>
      </c>
      <c r="BC784" t="inlineStr">
        <is>
          <t>32285001598191</t>
        </is>
      </c>
      <c r="BD784" t="inlineStr">
        <is>
          <t>893695584</t>
        </is>
      </c>
    </row>
    <row r="785">
      <c r="A785" t="inlineStr">
        <is>
          <t>No</t>
        </is>
      </c>
      <c r="B785" t="inlineStr">
        <is>
          <t>BF637.C6 B676 1979</t>
        </is>
      </c>
      <c r="C785" t="inlineStr">
        <is>
          <t>0                      BF 0637000C  6                  B  676         1979</t>
        </is>
      </c>
      <c r="D785" t="inlineStr">
        <is>
          <t>The helping relationship : process and skills / Lawrence M. Brammer.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Yes</t>
        </is>
      </c>
      <c r="J785" t="inlineStr">
        <is>
          <t>0</t>
        </is>
      </c>
      <c r="K785" t="inlineStr">
        <is>
          <t>Brammer, Lawrence M.</t>
        </is>
      </c>
      <c r="L785" t="inlineStr">
        <is>
          <t>Englewood Cliffs, N.J. : Prentice-Hall, c1979.</t>
        </is>
      </c>
      <c r="M785" t="inlineStr">
        <is>
          <t>1979</t>
        </is>
      </c>
      <c r="N785" t="inlineStr">
        <is>
          <t>2d ed.</t>
        </is>
      </c>
      <c r="O785" t="inlineStr">
        <is>
          <t>eng</t>
        </is>
      </c>
      <c r="P785" t="inlineStr">
        <is>
          <t>nju</t>
        </is>
      </c>
      <c r="Q785" t="inlineStr">
        <is>
          <t>Prentice-Hall series in counseling and human development</t>
        </is>
      </c>
      <c r="R785" t="inlineStr">
        <is>
          <t xml:space="preserve">BF </t>
        </is>
      </c>
      <c r="S785" t="n">
        <v>12</v>
      </c>
      <c r="T785" t="n">
        <v>12</v>
      </c>
      <c r="U785" t="inlineStr">
        <is>
          <t>1998-02-01</t>
        </is>
      </c>
      <c r="V785" t="inlineStr">
        <is>
          <t>1998-02-01</t>
        </is>
      </c>
      <c r="W785" t="inlineStr">
        <is>
          <t>1990-07-17</t>
        </is>
      </c>
      <c r="X785" t="inlineStr">
        <is>
          <t>1990-07-17</t>
        </is>
      </c>
      <c r="Y785" t="n">
        <v>512</v>
      </c>
      <c r="Z785" t="n">
        <v>378</v>
      </c>
      <c r="AA785" t="n">
        <v>1150</v>
      </c>
      <c r="AB785" t="n">
        <v>3</v>
      </c>
      <c r="AC785" t="n">
        <v>10</v>
      </c>
      <c r="AD785" t="n">
        <v>19</v>
      </c>
      <c r="AE785" t="n">
        <v>41</v>
      </c>
      <c r="AF785" t="n">
        <v>5</v>
      </c>
      <c r="AG785" t="n">
        <v>15</v>
      </c>
      <c r="AH785" t="n">
        <v>4</v>
      </c>
      <c r="AI785" t="n">
        <v>9</v>
      </c>
      <c r="AJ785" t="n">
        <v>12</v>
      </c>
      <c r="AK785" t="n">
        <v>22</v>
      </c>
      <c r="AL785" t="n">
        <v>2</v>
      </c>
      <c r="AM785" t="n">
        <v>6</v>
      </c>
      <c r="AN785" t="n">
        <v>0</v>
      </c>
      <c r="AO785" t="n">
        <v>0</v>
      </c>
      <c r="AP785" t="inlineStr">
        <is>
          <t>No</t>
        </is>
      </c>
      <c r="AQ785" t="inlineStr">
        <is>
          <t>Yes</t>
        </is>
      </c>
      <c r="AR785">
        <f>HYPERLINK("http://catalog.hathitrust.org/Record/000715357","HathiTrust Record")</f>
        <v/>
      </c>
      <c r="AS785">
        <f>HYPERLINK("https://creighton-primo.hosted.exlibrisgroup.com/primo-explore/search?tab=default_tab&amp;search_scope=EVERYTHING&amp;vid=01CRU&amp;lang=en_US&amp;offset=0&amp;query=any,contains,991004662069702656","Catalog Record")</f>
        <v/>
      </c>
      <c r="AT785">
        <f>HYPERLINK("http://www.worldcat.org/oclc/4497434","WorldCat Record")</f>
        <v/>
      </c>
      <c r="AU785" t="inlineStr">
        <is>
          <t>1498446:eng</t>
        </is>
      </c>
      <c r="AV785" t="inlineStr">
        <is>
          <t>4497434</t>
        </is>
      </c>
      <c r="AW785" t="inlineStr">
        <is>
          <t>991004662069702656</t>
        </is>
      </c>
      <c r="AX785" t="inlineStr">
        <is>
          <t>991004662069702656</t>
        </is>
      </c>
      <c r="AY785" t="inlineStr">
        <is>
          <t>2266878040002656</t>
        </is>
      </c>
      <c r="AZ785" t="inlineStr">
        <is>
          <t>BOOK</t>
        </is>
      </c>
      <c r="BB785" t="inlineStr">
        <is>
          <t>9780133862683</t>
        </is>
      </c>
      <c r="BC785" t="inlineStr">
        <is>
          <t>32285000238336</t>
        </is>
      </c>
      <c r="BD785" t="inlineStr">
        <is>
          <t>893337971</t>
        </is>
      </c>
    </row>
    <row r="786">
      <c r="A786" t="inlineStr">
        <is>
          <t>No</t>
        </is>
      </c>
      <c r="B786" t="inlineStr">
        <is>
          <t>BF637.C6 B72</t>
        </is>
      </c>
      <c r="C786" t="inlineStr">
        <is>
          <t>0                      BF 0637000C  6                  B  72</t>
        </is>
      </c>
      <c r="D786" t="inlineStr">
        <is>
          <t>Systematic counseling : a guide for the practitioner / Joseph H. Brown, Carolyn S. Brown. --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Brown, Joseph H.</t>
        </is>
      </c>
      <c r="L786" t="inlineStr">
        <is>
          <t>Champaign, Ill. : Research Press Co., c1977.</t>
        </is>
      </c>
      <c r="M786" t="inlineStr">
        <is>
          <t>1977</t>
        </is>
      </c>
      <c r="O786" t="inlineStr">
        <is>
          <t>eng</t>
        </is>
      </c>
      <c r="P786" t="inlineStr">
        <is>
          <t>ilu</t>
        </is>
      </c>
      <c r="R786" t="inlineStr">
        <is>
          <t xml:space="preserve">BF </t>
        </is>
      </c>
      <c r="S786" t="n">
        <v>2</v>
      </c>
      <c r="T786" t="n">
        <v>2</v>
      </c>
      <c r="U786" t="inlineStr">
        <is>
          <t>1994-04-24</t>
        </is>
      </c>
      <c r="V786" t="inlineStr">
        <is>
          <t>1994-04-24</t>
        </is>
      </c>
      <c r="W786" t="inlineStr">
        <is>
          <t>1990-07-06</t>
        </is>
      </c>
      <c r="X786" t="inlineStr">
        <is>
          <t>1990-07-06</t>
        </is>
      </c>
      <c r="Y786" t="n">
        <v>259</v>
      </c>
      <c r="Z786" t="n">
        <v>218</v>
      </c>
      <c r="AA786" t="n">
        <v>224</v>
      </c>
      <c r="AB786" t="n">
        <v>2</v>
      </c>
      <c r="AC786" t="n">
        <v>2</v>
      </c>
      <c r="AD786" t="n">
        <v>7</v>
      </c>
      <c r="AE786" t="n">
        <v>7</v>
      </c>
      <c r="AF786" t="n">
        <v>3</v>
      </c>
      <c r="AG786" t="n">
        <v>3</v>
      </c>
      <c r="AH786" t="n">
        <v>0</v>
      </c>
      <c r="AI786" t="n">
        <v>0</v>
      </c>
      <c r="AJ786" t="n">
        <v>4</v>
      </c>
      <c r="AK786" t="n">
        <v>4</v>
      </c>
      <c r="AL786" t="n">
        <v>1</v>
      </c>
      <c r="AM786" t="n">
        <v>1</v>
      </c>
      <c r="AN786" t="n">
        <v>0</v>
      </c>
      <c r="AO786" t="n">
        <v>0</v>
      </c>
      <c r="AP786" t="inlineStr">
        <is>
          <t>No</t>
        </is>
      </c>
      <c r="AQ786" t="inlineStr">
        <is>
          <t>Yes</t>
        </is>
      </c>
      <c r="AR786">
        <f>HYPERLINK("http://catalog.hathitrust.org/Record/000093767","HathiTrust Record")</f>
        <v/>
      </c>
      <c r="AS786">
        <f>HYPERLINK("https://creighton-primo.hosted.exlibrisgroup.com/primo-explore/search?tab=default_tab&amp;search_scope=EVERYTHING&amp;vid=01CRU&amp;lang=en_US&amp;offset=0&amp;query=any,contains,991004494069702656","Catalog Record")</f>
        <v/>
      </c>
      <c r="AT786">
        <f>HYPERLINK("http://www.worldcat.org/oclc/3681545","WorldCat Record")</f>
        <v/>
      </c>
      <c r="AU786" t="inlineStr">
        <is>
          <t>11874249:eng</t>
        </is>
      </c>
      <c r="AV786" t="inlineStr">
        <is>
          <t>3681545</t>
        </is>
      </c>
      <c r="AW786" t="inlineStr">
        <is>
          <t>991004494069702656</t>
        </is>
      </c>
      <c r="AX786" t="inlineStr">
        <is>
          <t>991004494069702656</t>
        </is>
      </c>
      <c r="AY786" t="inlineStr">
        <is>
          <t>2260045050002656</t>
        </is>
      </c>
      <c r="AZ786" t="inlineStr">
        <is>
          <t>BOOK</t>
        </is>
      </c>
      <c r="BB786" t="inlineStr">
        <is>
          <t>9780878221370</t>
        </is>
      </c>
      <c r="BC786" t="inlineStr">
        <is>
          <t>32285000204155</t>
        </is>
      </c>
      <c r="BD786" t="inlineStr">
        <is>
          <t>893599894</t>
        </is>
      </c>
    </row>
    <row r="787">
      <c r="A787" t="inlineStr">
        <is>
          <t>No</t>
        </is>
      </c>
      <c r="B787" t="inlineStr">
        <is>
          <t>BF637.C6 B745 1988</t>
        </is>
      </c>
      <c r="C787" t="inlineStr">
        <is>
          <t>0                      BF 0637000C  6                  B  745         1988</t>
        </is>
      </c>
      <c r="D787" t="inlineStr">
        <is>
          <t>An introduction to the counseling profession / Duane Brown, David J. Srebalus.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Brown, Duane.</t>
        </is>
      </c>
      <c r="L787" t="inlineStr">
        <is>
          <t>Englewood Cliffs, N.J. : Prentice-Hall, c1988.</t>
        </is>
      </c>
      <c r="M787" t="inlineStr">
        <is>
          <t>1988</t>
        </is>
      </c>
      <c r="O787" t="inlineStr">
        <is>
          <t>eng</t>
        </is>
      </c>
      <c r="P787" t="inlineStr">
        <is>
          <t>nju</t>
        </is>
      </c>
      <c r="R787" t="inlineStr">
        <is>
          <t xml:space="preserve">BF </t>
        </is>
      </c>
      <c r="S787" t="n">
        <v>13</v>
      </c>
      <c r="T787" t="n">
        <v>13</v>
      </c>
      <c r="U787" t="inlineStr">
        <is>
          <t>1996-06-18</t>
        </is>
      </c>
      <c r="V787" t="inlineStr">
        <is>
          <t>1996-06-18</t>
        </is>
      </c>
      <c r="W787" t="inlineStr">
        <is>
          <t>1995-02-28</t>
        </is>
      </c>
      <c r="X787" t="inlineStr">
        <is>
          <t>1995-02-28</t>
        </is>
      </c>
      <c r="Y787" t="n">
        <v>124</v>
      </c>
      <c r="Z787" t="n">
        <v>98</v>
      </c>
      <c r="AA787" t="n">
        <v>206</v>
      </c>
      <c r="AB787" t="n">
        <v>1</v>
      </c>
      <c r="AC787" t="n">
        <v>1</v>
      </c>
      <c r="AD787" t="n">
        <v>3</v>
      </c>
      <c r="AE787" t="n">
        <v>8</v>
      </c>
      <c r="AF787" t="n">
        <v>1</v>
      </c>
      <c r="AG787" t="n">
        <v>4</v>
      </c>
      <c r="AH787" t="n">
        <v>1</v>
      </c>
      <c r="AI787" t="n">
        <v>2</v>
      </c>
      <c r="AJ787" t="n">
        <v>3</v>
      </c>
      <c r="AK787" t="n">
        <v>5</v>
      </c>
      <c r="AL787" t="n">
        <v>0</v>
      </c>
      <c r="AM787" t="n">
        <v>0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HYPERLINK("http://catalog.hathitrust.org/Record/000919264","HathiTrust Record")</f>
        <v/>
      </c>
      <c r="AS787">
        <f>HYPERLINK("https://creighton-primo.hosted.exlibrisgroup.com/primo-explore/search?tab=default_tab&amp;search_scope=EVERYTHING&amp;vid=01CRU&amp;lang=en_US&amp;offset=0&amp;query=any,contains,991001165279702656","Catalog Record")</f>
        <v/>
      </c>
      <c r="AT787">
        <f>HYPERLINK("http://www.worldcat.org/oclc/16922774","WorldCat Record")</f>
        <v/>
      </c>
      <c r="AU787" t="inlineStr">
        <is>
          <t>892802:eng</t>
        </is>
      </c>
      <c r="AV787" t="inlineStr">
        <is>
          <t>16922774</t>
        </is>
      </c>
      <c r="AW787" t="inlineStr">
        <is>
          <t>991001165279702656</t>
        </is>
      </c>
      <c r="AX787" t="inlineStr">
        <is>
          <t>991001165279702656</t>
        </is>
      </c>
      <c r="AY787" t="inlineStr">
        <is>
          <t>2271835250002656</t>
        </is>
      </c>
      <c r="AZ787" t="inlineStr">
        <is>
          <t>BOOK</t>
        </is>
      </c>
      <c r="BB787" t="inlineStr">
        <is>
          <t>9780134815404</t>
        </is>
      </c>
      <c r="BC787" t="inlineStr">
        <is>
          <t>32285001779510</t>
        </is>
      </c>
      <c r="BD787" t="inlineStr">
        <is>
          <t>893407904</t>
        </is>
      </c>
    </row>
    <row r="788">
      <c r="A788" t="inlineStr">
        <is>
          <t>No</t>
        </is>
      </c>
      <c r="B788" t="inlineStr">
        <is>
          <t>BF637.C6 C34</t>
        </is>
      </c>
      <c r="C788" t="inlineStr">
        <is>
          <t>0                      BF 0637000C  6                  C  34</t>
        </is>
      </c>
      <c r="D788" t="inlineStr">
        <is>
          <t>Helping and human relations : a primer for lay and professional helpers / [by] Robert R. Carkhuff.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Carkhuff, Robert R.</t>
        </is>
      </c>
      <c r="L788" t="inlineStr">
        <is>
          <t>New York : Holt, Rinehart and Winston, [1969-</t>
        </is>
      </c>
      <c r="M788" t="inlineStr">
        <is>
          <t>1969</t>
        </is>
      </c>
      <c r="O788" t="inlineStr">
        <is>
          <t>eng</t>
        </is>
      </c>
      <c r="P788" t="inlineStr">
        <is>
          <t>nyu</t>
        </is>
      </c>
      <c r="R788" t="inlineStr">
        <is>
          <t xml:space="preserve">BF </t>
        </is>
      </c>
      <c r="S788" t="n">
        <v>3</v>
      </c>
      <c r="T788" t="n">
        <v>3</v>
      </c>
      <c r="U788" t="inlineStr">
        <is>
          <t>1993-02-17</t>
        </is>
      </c>
      <c r="V788" t="inlineStr">
        <is>
          <t>1993-02-17</t>
        </is>
      </c>
      <c r="W788" t="inlineStr">
        <is>
          <t>1991-12-23</t>
        </is>
      </c>
      <c r="X788" t="inlineStr">
        <is>
          <t>1991-12-23</t>
        </is>
      </c>
      <c r="Y788" t="n">
        <v>811</v>
      </c>
      <c r="Z788" t="n">
        <v>655</v>
      </c>
      <c r="AA788" t="n">
        <v>662</v>
      </c>
      <c r="AB788" t="n">
        <v>5</v>
      </c>
      <c r="AC788" t="n">
        <v>5</v>
      </c>
      <c r="AD788" t="n">
        <v>24</v>
      </c>
      <c r="AE788" t="n">
        <v>24</v>
      </c>
      <c r="AF788" t="n">
        <v>7</v>
      </c>
      <c r="AG788" t="n">
        <v>7</v>
      </c>
      <c r="AH788" t="n">
        <v>4</v>
      </c>
      <c r="AI788" t="n">
        <v>4</v>
      </c>
      <c r="AJ788" t="n">
        <v>16</v>
      </c>
      <c r="AK788" t="n">
        <v>16</v>
      </c>
      <c r="AL788" t="n">
        <v>4</v>
      </c>
      <c r="AM788" t="n">
        <v>4</v>
      </c>
      <c r="AN788" t="n">
        <v>0</v>
      </c>
      <c r="AO788" t="n">
        <v>0</v>
      </c>
      <c r="AP788" t="inlineStr">
        <is>
          <t>No</t>
        </is>
      </c>
      <c r="AQ788" t="inlineStr">
        <is>
          <t>Yes</t>
        </is>
      </c>
      <c r="AR788">
        <f>HYPERLINK("http://catalog.hathitrust.org/Record/000386434","HathiTrust Record")</f>
        <v/>
      </c>
      <c r="AS788">
        <f>HYPERLINK("https://creighton-primo.hosted.exlibrisgroup.com/primo-explore/search?tab=default_tab&amp;search_scope=EVERYTHING&amp;vid=01CRU&amp;lang=en_US&amp;offset=0&amp;query=any,contains,991000650229702656","Catalog Record")</f>
        <v/>
      </c>
      <c r="AT788">
        <f>HYPERLINK("http://www.worldcat.org/oclc/112894","WorldCat Record")</f>
        <v/>
      </c>
      <c r="AU788" t="inlineStr">
        <is>
          <t>5090478857:eng</t>
        </is>
      </c>
      <c r="AV788" t="inlineStr">
        <is>
          <t>112894</t>
        </is>
      </c>
      <c r="AW788" t="inlineStr">
        <is>
          <t>991000650229702656</t>
        </is>
      </c>
      <c r="AX788" t="inlineStr">
        <is>
          <t>991000650229702656</t>
        </is>
      </c>
      <c r="AY788" t="inlineStr">
        <is>
          <t>2268191150002656</t>
        </is>
      </c>
      <c r="AZ788" t="inlineStr">
        <is>
          <t>BOOK</t>
        </is>
      </c>
      <c r="BB788" t="inlineStr">
        <is>
          <t>9780030812149</t>
        </is>
      </c>
      <c r="BC788" t="inlineStr">
        <is>
          <t>32285000879436</t>
        </is>
      </c>
      <c r="BD788" t="inlineStr">
        <is>
          <t>893321224</t>
        </is>
      </c>
    </row>
    <row r="789">
      <c r="A789" t="inlineStr">
        <is>
          <t>No</t>
        </is>
      </c>
      <c r="B789" t="inlineStr">
        <is>
          <t>BF637.C6 C342</t>
        </is>
      </c>
      <c r="C789" t="inlineStr">
        <is>
          <t>0                      BF 0637000C  6                  C  342</t>
        </is>
      </c>
      <c r="D789" t="inlineStr">
        <is>
          <t>The skills of helping : an introduction to counseling skills / Robert R. Carkhuff, William A. Anthony, with John R. Cannon, Richard M. Pierce, F. Jack Zigon.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Carkhuff, Robert R.</t>
        </is>
      </c>
      <c r="L789" t="inlineStr">
        <is>
          <t>Amherst, Mass. : Human Resource Development Press, c1979.</t>
        </is>
      </c>
      <c r="M789" t="inlineStr">
        <is>
          <t>1979</t>
        </is>
      </c>
      <c r="N789" t="inlineStr">
        <is>
          <t>1st ed.</t>
        </is>
      </c>
      <c r="O789" t="inlineStr">
        <is>
          <t>eng</t>
        </is>
      </c>
      <c r="P789" t="inlineStr">
        <is>
          <t>mau</t>
        </is>
      </c>
      <c r="R789" t="inlineStr">
        <is>
          <t xml:space="preserve">BF </t>
        </is>
      </c>
      <c r="S789" t="n">
        <v>7</v>
      </c>
      <c r="T789" t="n">
        <v>7</v>
      </c>
      <c r="U789" t="inlineStr">
        <is>
          <t>1998-07-05</t>
        </is>
      </c>
      <c r="V789" t="inlineStr">
        <is>
          <t>1998-07-05</t>
        </is>
      </c>
      <c r="W789" t="inlineStr">
        <is>
          <t>1990-04-04</t>
        </is>
      </c>
      <c r="X789" t="inlineStr">
        <is>
          <t>1990-04-04</t>
        </is>
      </c>
      <c r="Y789" t="n">
        <v>372</v>
      </c>
      <c r="Z789" t="n">
        <v>293</v>
      </c>
      <c r="AA789" t="n">
        <v>314</v>
      </c>
      <c r="AB789" t="n">
        <v>3</v>
      </c>
      <c r="AC789" t="n">
        <v>3</v>
      </c>
      <c r="AD789" t="n">
        <v>9</v>
      </c>
      <c r="AE789" t="n">
        <v>11</v>
      </c>
      <c r="AF789" t="n">
        <v>3</v>
      </c>
      <c r="AG789" t="n">
        <v>5</v>
      </c>
      <c r="AH789" t="n">
        <v>2</v>
      </c>
      <c r="AI789" t="n">
        <v>2</v>
      </c>
      <c r="AJ789" t="n">
        <v>6</v>
      </c>
      <c r="AK789" t="n">
        <v>6</v>
      </c>
      <c r="AL789" t="n">
        <v>2</v>
      </c>
      <c r="AM789" t="n">
        <v>2</v>
      </c>
      <c r="AN789" t="n">
        <v>0</v>
      </c>
      <c r="AO789" t="n">
        <v>0</v>
      </c>
      <c r="AP789" t="inlineStr">
        <is>
          <t>No</t>
        </is>
      </c>
      <c r="AQ789" t="inlineStr">
        <is>
          <t>No</t>
        </is>
      </c>
      <c r="AS789">
        <f>HYPERLINK("https://creighton-primo.hosted.exlibrisgroup.com/primo-explore/search?tab=default_tab&amp;search_scope=EVERYTHING&amp;vid=01CRU&amp;lang=en_US&amp;offset=0&amp;query=any,contains,991004770619702656","Catalog Record")</f>
        <v/>
      </c>
      <c r="AT789">
        <f>HYPERLINK("http://www.worldcat.org/oclc/5057951","WorldCat Record")</f>
        <v/>
      </c>
      <c r="AU789" t="inlineStr">
        <is>
          <t>4566186:eng</t>
        </is>
      </c>
      <c r="AV789" t="inlineStr">
        <is>
          <t>5057951</t>
        </is>
      </c>
      <c r="AW789" t="inlineStr">
        <is>
          <t>991004770619702656</t>
        </is>
      </c>
      <c r="AX789" t="inlineStr">
        <is>
          <t>991004770619702656</t>
        </is>
      </c>
      <c r="AY789" t="inlineStr">
        <is>
          <t>2257997950002656</t>
        </is>
      </c>
      <c r="AZ789" t="inlineStr">
        <is>
          <t>BOOK</t>
        </is>
      </c>
      <c r="BB789" t="inlineStr">
        <is>
          <t>9780914234081</t>
        </is>
      </c>
      <c r="BC789" t="inlineStr">
        <is>
          <t>32285000110287</t>
        </is>
      </c>
      <c r="BD789" t="inlineStr">
        <is>
          <t>893776415</t>
        </is>
      </c>
    </row>
    <row r="790">
      <c r="A790" t="inlineStr">
        <is>
          <t>No</t>
        </is>
      </c>
      <c r="B790" t="inlineStr">
        <is>
          <t>BF637.C6 C35 1962</t>
        </is>
      </c>
      <c r="C790" t="inlineStr">
        <is>
          <t>0                      BF 0637000C  6                  C  35          1962</t>
        </is>
      </c>
      <c r="D790" t="inlineStr">
        <is>
          <t>Psychological counseling of adolescents; the proceedings. Edited by Raymond J. Steimel.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Catholic University of America. Workshop on Psychological Counseling of Adolescents (1961)</t>
        </is>
      </c>
      <c r="L790" t="inlineStr">
        <is>
          <t>Washington, Catholic University of America Press, 1962.</t>
        </is>
      </c>
      <c r="M790" t="inlineStr">
        <is>
          <t>1962</t>
        </is>
      </c>
      <c r="O790" t="inlineStr">
        <is>
          <t>eng</t>
        </is>
      </c>
      <c r="P790" t="inlineStr">
        <is>
          <t>dcu</t>
        </is>
      </c>
      <c r="R790" t="inlineStr">
        <is>
          <t xml:space="preserve">BF </t>
        </is>
      </c>
      <c r="S790" t="n">
        <v>1</v>
      </c>
      <c r="T790" t="n">
        <v>1</v>
      </c>
      <c r="U790" t="inlineStr">
        <is>
          <t>2005-09-02</t>
        </is>
      </c>
      <c r="V790" t="inlineStr">
        <is>
          <t>2005-09-02</t>
        </is>
      </c>
      <c r="W790" t="inlineStr">
        <is>
          <t>1996-08-01</t>
        </is>
      </c>
      <c r="X790" t="inlineStr">
        <is>
          <t>1996-08-01</t>
        </is>
      </c>
      <c r="Y790" t="n">
        <v>116</v>
      </c>
      <c r="Z790" t="n">
        <v>110</v>
      </c>
      <c r="AA790" t="n">
        <v>110</v>
      </c>
      <c r="AB790" t="n">
        <v>1</v>
      </c>
      <c r="AC790" t="n">
        <v>1</v>
      </c>
      <c r="AD790" t="n">
        <v>6</v>
      </c>
      <c r="AE790" t="n">
        <v>6</v>
      </c>
      <c r="AF790" t="n">
        <v>3</v>
      </c>
      <c r="AG790" t="n">
        <v>3</v>
      </c>
      <c r="AH790" t="n">
        <v>0</v>
      </c>
      <c r="AI790" t="n">
        <v>0</v>
      </c>
      <c r="AJ790" t="n">
        <v>5</v>
      </c>
      <c r="AK790" t="n">
        <v>5</v>
      </c>
      <c r="AL790" t="n">
        <v>0</v>
      </c>
      <c r="AM790" t="n">
        <v>0</v>
      </c>
      <c r="AN790" t="n">
        <v>0</v>
      </c>
      <c r="AO790" t="n">
        <v>0</v>
      </c>
      <c r="AP790" t="inlineStr">
        <is>
          <t>No</t>
        </is>
      </c>
      <c r="AQ790" t="inlineStr">
        <is>
          <t>No</t>
        </is>
      </c>
      <c r="AR790">
        <f>HYPERLINK("http://catalog.hathitrust.org/Record/006754251","HathiTrust Record")</f>
        <v/>
      </c>
      <c r="AS790">
        <f>HYPERLINK("https://creighton-primo.hosted.exlibrisgroup.com/primo-explore/search?tab=default_tab&amp;search_scope=EVERYTHING&amp;vid=01CRU&amp;lang=en_US&amp;offset=0&amp;query=any,contains,991002262039702656","Catalog Record")</f>
        <v/>
      </c>
      <c r="AT790">
        <f>HYPERLINK("http://www.worldcat.org/oclc/304863","WorldCat Record")</f>
        <v/>
      </c>
      <c r="AU790" t="inlineStr">
        <is>
          <t>3901454947:eng</t>
        </is>
      </c>
      <c r="AV790" t="inlineStr">
        <is>
          <t>304863</t>
        </is>
      </c>
      <c r="AW790" t="inlineStr">
        <is>
          <t>991002262039702656</t>
        </is>
      </c>
      <c r="AX790" t="inlineStr">
        <is>
          <t>991002262039702656</t>
        </is>
      </c>
      <c r="AY790" t="inlineStr">
        <is>
          <t>2271308350002656</t>
        </is>
      </c>
      <c r="AZ790" t="inlineStr">
        <is>
          <t>BOOK</t>
        </is>
      </c>
      <c r="BC790" t="inlineStr">
        <is>
          <t>32285002251964</t>
        </is>
      </c>
      <c r="BD790" t="inlineStr">
        <is>
          <t>893347297</t>
        </is>
      </c>
    </row>
    <row r="791">
      <c r="A791" t="inlineStr">
        <is>
          <t>No</t>
        </is>
      </c>
      <c r="B791" t="inlineStr">
        <is>
          <t>BF637.C6 C66</t>
        </is>
      </c>
      <c r="C791" t="inlineStr">
        <is>
          <t>0                      BF 0637000C  6                  C  66</t>
        </is>
      </c>
      <c r="D791" t="inlineStr">
        <is>
          <t>Counseling : theory, research, and practice / John J. Pietrofesa ... [et al.].</t>
        </is>
      </c>
      <c r="F791" t="inlineStr">
        <is>
          <t>No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L791" t="inlineStr">
        <is>
          <t>Chicago : Rand McNally College Pub. Co., c1978.</t>
        </is>
      </c>
      <c r="M791" t="inlineStr">
        <is>
          <t>1978</t>
        </is>
      </c>
      <c r="O791" t="inlineStr">
        <is>
          <t>eng</t>
        </is>
      </c>
      <c r="P791" t="inlineStr">
        <is>
          <t>ilu</t>
        </is>
      </c>
      <c r="Q791" t="inlineStr">
        <is>
          <t>Rand McNally education series</t>
        </is>
      </c>
      <c r="R791" t="inlineStr">
        <is>
          <t xml:space="preserve">BF </t>
        </is>
      </c>
      <c r="S791" t="n">
        <v>13</v>
      </c>
      <c r="T791" t="n">
        <v>13</v>
      </c>
      <c r="U791" t="inlineStr">
        <is>
          <t>1998-03-22</t>
        </is>
      </c>
      <c r="V791" t="inlineStr">
        <is>
          <t>1998-03-22</t>
        </is>
      </c>
      <c r="W791" t="inlineStr">
        <is>
          <t>1990-04-10</t>
        </is>
      </c>
      <c r="X791" t="inlineStr">
        <is>
          <t>1990-04-10</t>
        </is>
      </c>
      <c r="Y791" t="n">
        <v>230</v>
      </c>
      <c r="Z791" t="n">
        <v>173</v>
      </c>
      <c r="AA791" t="n">
        <v>181</v>
      </c>
      <c r="AB791" t="n">
        <v>2</v>
      </c>
      <c r="AC791" t="n">
        <v>2</v>
      </c>
      <c r="AD791" t="n">
        <v>6</v>
      </c>
      <c r="AE791" t="n">
        <v>6</v>
      </c>
      <c r="AF791" t="n">
        <v>3</v>
      </c>
      <c r="AG791" t="n">
        <v>3</v>
      </c>
      <c r="AH791" t="n">
        <v>1</v>
      </c>
      <c r="AI791" t="n">
        <v>1</v>
      </c>
      <c r="AJ791" t="n">
        <v>5</v>
      </c>
      <c r="AK791" t="n">
        <v>5</v>
      </c>
      <c r="AL791" t="n">
        <v>0</v>
      </c>
      <c r="AM791" t="n">
        <v>0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HYPERLINK("http://catalog.hathitrust.org/Record/000175047","HathiTrust Record")</f>
        <v/>
      </c>
      <c r="AS791">
        <f>HYPERLINK("https://creighton-primo.hosted.exlibrisgroup.com/primo-explore/search?tab=default_tab&amp;search_scope=EVERYTHING&amp;vid=01CRU&amp;lang=en_US&amp;offset=0&amp;query=any,contains,991004663999702656","Catalog Record")</f>
        <v/>
      </c>
      <c r="AT791">
        <f>HYPERLINK("http://www.worldcat.org/oclc/4499719","WorldCat Record")</f>
        <v/>
      </c>
      <c r="AU791" t="inlineStr">
        <is>
          <t>54264520:eng</t>
        </is>
      </c>
      <c r="AV791" t="inlineStr">
        <is>
          <t>4499719</t>
        </is>
      </c>
      <c r="AW791" t="inlineStr">
        <is>
          <t>991004663999702656</t>
        </is>
      </c>
      <c r="AX791" t="inlineStr">
        <is>
          <t>991004663999702656</t>
        </is>
      </c>
      <c r="AY791" t="inlineStr">
        <is>
          <t>2265876670002656</t>
        </is>
      </c>
      <c r="AZ791" t="inlineStr">
        <is>
          <t>BOOK</t>
        </is>
      </c>
      <c r="BC791" t="inlineStr">
        <is>
          <t>32285000113091</t>
        </is>
      </c>
      <c r="BD791" t="inlineStr">
        <is>
          <t>893722543</t>
        </is>
      </c>
    </row>
    <row r="792">
      <c r="A792" t="inlineStr">
        <is>
          <t>No</t>
        </is>
      </c>
      <c r="B792" t="inlineStr">
        <is>
          <t>BF637.C6 C79</t>
        </is>
      </c>
      <c r="C792" t="inlineStr">
        <is>
          <t>0                      BF 0637000C  6                  C  79</t>
        </is>
      </c>
      <c r="D792" t="inlineStr">
        <is>
          <t>Counseling and psychotherapy : the pursuit of values / by Charles A. Curran.</t>
        </is>
      </c>
      <c r="F792" t="inlineStr">
        <is>
          <t>No</t>
        </is>
      </c>
      <c r="G792" t="inlineStr">
        <is>
          <t>1</t>
        </is>
      </c>
      <c r="H792" t="inlineStr">
        <is>
          <t>Yes</t>
        </is>
      </c>
      <c r="I792" t="inlineStr">
        <is>
          <t>No</t>
        </is>
      </c>
      <c r="J792" t="inlineStr">
        <is>
          <t>0</t>
        </is>
      </c>
      <c r="K792" t="inlineStr">
        <is>
          <t>Curran, Charles A. (Charles Arthur), 1913-1978.</t>
        </is>
      </c>
      <c r="L792" t="inlineStr">
        <is>
          <t>New York : Sheed and Ward, [1968]</t>
        </is>
      </c>
      <c r="M792" t="inlineStr">
        <is>
          <t>1968</t>
        </is>
      </c>
      <c r="O792" t="inlineStr">
        <is>
          <t>eng</t>
        </is>
      </c>
      <c r="P792" t="inlineStr">
        <is>
          <t>nyu</t>
        </is>
      </c>
      <c r="R792" t="inlineStr">
        <is>
          <t xml:space="preserve">BF </t>
        </is>
      </c>
      <c r="S792" t="n">
        <v>2</v>
      </c>
      <c r="T792" t="n">
        <v>3</v>
      </c>
      <c r="U792" t="inlineStr">
        <is>
          <t>1993-05-30</t>
        </is>
      </c>
      <c r="V792" t="inlineStr">
        <is>
          <t>1993-05-30</t>
        </is>
      </c>
      <c r="W792" t="inlineStr">
        <is>
          <t>1990-10-23</t>
        </is>
      </c>
      <c r="X792" t="inlineStr">
        <is>
          <t>1990-10-23</t>
        </is>
      </c>
      <c r="Y792" t="n">
        <v>444</v>
      </c>
      <c r="Z792" t="n">
        <v>389</v>
      </c>
      <c r="AA792" t="n">
        <v>464</v>
      </c>
      <c r="AB792" t="n">
        <v>8</v>
      </c>
      <c r="AC792" t="n">
        <v>8</v>
      </c>
      <c r="AD792" t="n">
        <v>27</v>
      </c>
      <c r="AE792" t="n">
        <v>32</v>
      </c>
      <c r="AF792" t="n">
        <v>6</v>
      </c>
      <c r="AG792" t="n">
        <v>8</v>
      </c>
      <c r="AH792" t="n">
        <v>8</v>
      </c>
      <c r="AI792" t="n">
        <v>10</v>
      </c>
      <c r="AJ792" t="n">
        <v>17</v>
      </c>
      <c r="AK792" t="n">
        <v>18</v>
      </c>
      <c r="AL792" t="n">
        <v>4</v>
      </c>
      <c r="AM792" t="n">
        <v>4</v>
      </c>
      <c r="AN792" t="n">
        <v>0</v>
      </c>
      <c r="AO792" t="n">
        <v>0</v>
      </c>
      <c r="AP792" t="inlineStr">
        <is>
          <t>No</t>
        </is>
      </c>
      <c r="AQ792" t="inlineStr">
        <is>
          <t>Yes</t>
        </is>
      </c>
      <c r="AR792">
        <f>HYPERLINK("http://catalog.hathitrust.org/Record/004508869","HathiTrust Record")</f>
        <v/>
      </c>
      <c r="AS792">
        <f>HYPERLINK("https://creighton-primo.hosted.exlibrisgroup.com/primo-explore/search?tab=default_tab&amp;search_scope=EVERYTHING&amp;vid=01CRU&amp;lang=en_US&amp;offset=0&amp;query=any,contains,991001785639702656","Catalog Record")</f>
        <v/>
      </c>
      <c r="AT792">
        <f>HYPERLINK("http://www.worldcat.org/oclc/21263","WorldCat Record")</f>
        <v/>
      </c>
      <c r="AU792" t="inlineStr">
        <is>
          <t>796335498:eng</t>
        </is>
      </c>
      <c r="AV792" t="inlineStr">
        <is>
          <t>21263</t>
        </is>
      </c>
      <c r="AW792" t="inlineStr">
        <is>
          <t>991001785639702656</t>
        </is>
      </c>
      <c r="AX792" t="inlineStr">
        <is>
          <t>991001785639702656</t>
        </is>
      </c>
      <c r="AY792" t="inlineStr">
        <is>
          <t>2261432430002656</t>
        </is>
      </c>
      <c r="AZ792" t="inlineStr">
        <is>
          <t>BOOK</t>
        </is>
      </c>
      <c r="BC792" t="inlineStr">
        <is>
          <t>32285000352525</t>
        </is>
      </c>
      <c r="BD792" t="inlineStr">
        <is>
          <t>893866479</t>
        </is>
      </c>
    </row>
    <row r="793">
      <c r="A793" t="inlineStr">
        <is>
          <t>No</t>
        </is>
      </c>
      <c r="B793" t="inlineStr">
        <is>
          <t>BF637.C6 D5</t>
        </is>
      </c>
      <c r="C793" t="inlineStr">
        <is>
          <t>0                      BF 0637000C  6                  D  5</t>
        </is>
      </c>
      <c r="D793" t="inlineStr">
        <is>
          <t>Group procedures : purposes, processes, and outcomes : selected readings for the counselor / edited by Richard C. Diedrich and H. Allan Dye.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K793" t="inlineStr">
        <is>
          <t>Diedrich, Richard C., compiler.</t>
        </is>
      </c>
      <c r="L793" t="inlineStr">
        <is>
          <t>Boston : Houghton Mifflin, [1972]</t>
        </is>
      </c>
      <c r="M793" t="inlineStr">
        <is>
          <t>1972</t>
        </is>
      </c>
      <c r="O793" t="inlineStr">
        <is>
          <t>eng</t>
        </is>
      </c>
      <c r="P793" t="inlineStr">
        <is>
          <t>mau</t>
        </is>
      </c>
      <c r="R793" t="inlineStr">
        <is>
          <t xml:space="preserve">BF </t>
        </is>
      </c>
      <c r="S793" t="n">
        <v>10</v>
      </c>
      <c r="T793" t="n">
        <v>10</v>
      </c>
      <c r="U793" t="inlineStr">
        <is>
          <t>1999-06-13</t>
        </is>
      </c>
      <c r="V793" t="inlineStr">
        <is>
          <t>1999-06-13</t>
        </is>
      </c>
      <c r="W793" t="inlineStr">
        <is>
          <t>1995-05-01</t>
        </is>
      </c>
      <c r="X793" t="inlineStr">
        <is>
          <t>1995-05-01</t>
        </is>
      </c>
      <c r="Y793" t="n">
        <v>399</v>
      </c>
      <c r="Z793" t="n">
        <v>316</v>
      </c>
      <c r="AA793" t="n">
        <v>324</v>
      </c>
      <c r="AB793" t="n">
        <v>3</v>
      </c>
      <c r="AC793" t="n">
        <v>3</v>
      </c>
      <c r="AD793" t="n">
        <v>14</v>
      </c>
      <c r="AE793" t="n">
        <v>14</v>
      </c>
      <c r="AF793" t="n">
        <v>7</v>
      </c>
      <c r="AG793" t="n">
        <v>7</v>
      </c>
      <c r="AH793" t="n">
        <v>3</v>
      </c>
      <c r="AI793" t="n">
        <v>3</v>
      </c>
      <c r="AJ793" t="n">
        <v>8</v>
      </c>
      <c r="AK793" t="n">
        <v>8</v>
      </c>
      <c r="AL793" t="n">
        <v>2</v>
      </c>
      <c r="AM793" t="n">
        <v>2</v>
      </c>
      <c r="AN793" t="n">
        <v>0</v>
      </c>
      <c r="AO793" t="n">
        <v>0</v>
      </c>
      <c r="AP793" t="inlineStr">
        <is>
          <t>No</t>
        </is>
      </c>
      <c r="AQ793" t="inlineStr">
        <is>
          <t>Yes</t>
        </is>
      </c>
      <c r="AR793">
        <f>HYPERLINK("http://catalog.hathitrust.org/Record/000004406","HathiTrust Record")</f>
        <v/>
      </c>
      <c r="AS793">
        <f>HYPERLINK("https://creighton-primo.hosted.exlibrisgroup.com/primo-explore/search?tab=default_tab&amp;search_scope=EVERYTHING&amp;vid=01CRU&amp;lang=en_US&amp;offset=0&amp;query=any,contains,991002272349702656","Catalog Record")</f>
        <v/>
      </c>
      <c r="AT793">
        <f>HYPERLINK("http://www.worldcat.org/oclc/308674","WorldCat Record")</f>
        <v/>
      </c>
      <c r="AU793" t="inlineStr">
        <is>
          <t>1364572:eng</t>
        </is>
      </c>
      <c r="AV793" t="inlineStr">
        <is>
          <t>308674</t>
        </is>
      </c>
      <c r="AW793" t="inlineStr">
        <is>
          <t>991002272349702656</t>
        </is>
      </c>
      <c r="AX793" t="inlineStr">
        <is>
          <t>991002272349702656</t>
        </is>
      </c>
      <c r="AY793" t="inlineStr">
        <is>
          <t>2266200610002656</t>
        </is>
      </c>
      <c r="AZ793" t="inlineStr">
        <is>
          <t>BOOK</t>
        </is>
      </c>
      <c r="BB793" t="inlineStr">
        <is>
          <t>9780395043646</t>
        </is>
      </c>
      <c r="BC793" t="inlineStr">
        <is>
          <t>32285002020864</t>
        </is>
      </c>
      <c r="BD793" t="inlineStr">
        <is>
          <t>893886062</t>
        </is>
      </c>
    </row>
    <row r="794">
      <c r="A794" t="inlineStr">
        <is>
          <t>No</t>
        </is>
      </c>
      <c r="B794" t="inlineStr">
        <is>
          <t>BF637.C6 D62</t>
        </is>
      </c>
      <c r="C794" t="inlineStr">
        <is>
          <t>0                      BF 0637000C  6                  D  62</t>
        </is>
      </c>
      <c r="D794" t="inlineStr">
        <is>
          <t>Counseling theories and techniques, summarized and critiqued : (a competency-based approach) / Lester N. Downing.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K794" t="inlineStr">
        <is>
          <t>Downing, Lester N., 1914-</t>
        </is>
      </c>
      <c r="L794" t="inlineStr">
        <is>
          <t>Chicago : Nelson-Hall, c1975, 1977 printing.</t>
        </is>
      </c>
      <c r="M794" t="inlineStr">
        <is>
          <t>1975</t>
        </is>
      </c>
      <c r="O794" t="inlineStr">
        <is>
          <t>eng</t>
        </is>
      </c>
      <c r="P794" t="inlineStr">
        <is>
          <t>ilu</t>
        </is>
      </c>
      <c r="R794" t="inlineStr">
        <is>
          <t xml:space="preserve">BF </t>
        </is>
      </c>
      <c r="S794" t="n">
        <v>13</v>
      </c>
      <c r="T794" t="n">
        <v>13</v>
      </c>
      <c r="U794" t="inlineStr">
        <is>
          <t>1997-10-21</t>
        </is>
      </c>
      <c r="V794" t="inlineStr">
        <is>
          <t>1997-10-21</t>
        </is>
      </c>
      <c r="W794" t="inlineStr">
        <is>
          <t>1990-03-20</t>
        </is>
      </c>
      <c r="X794" t="inlineStr">
        <is>
          <t>1990-03-20</t>
        </is>
      </c>
      <c r="Y794" t="n">
        <v>466</v>
      </c>
      <c r="Z794" t="n">
        <v>394</v>
      </c>
      <c r="AA794" t="n">
        <v>411</v>
      </c>
      <c r="AB794" t="n">
        <v>5</v>
      </c>
      <c r="AC794" t="n">
        <v>5</v>
      </c>
      <c r="AD794" t="n">
        <v>17</v>
      </c>
      <c r="AE794" t="n">
        <v>19</v>
      </c>
      <c r="AF794" t="n">
        <v>8</v>
      </c>
      <c r="AG794" t="n">
        <v>9</v>
      </c>
      <c r="AH794" t="n">
        <v>2</v>
      </c>
      <c r="AI794" t="n">
        <v>3</v>
      </c>
      <c r="AJ794" t="n">
        <v>7</v>
      </c>
      <c r="AK794" t="n">
        <v>7</v>
      </c>
      <c r="AL794" t="n">
        <v>4</v>
      </c>
      <c r="AM794" t="n">
        <v>4</v>
      </c>
      <c r="AN794" t="n">
        <v>0</v>
      </c>
      <c r="AO794" t="n">
        <v>0</v>
      </c>
      <c r="AP794" t="inlineStr">
        <is>
          <t>No</t>
        </is>
      </c>
      <c r="AQ794" t="inlineStr">
        <is>
          <t>Yes</t>
        </is>
      </c>
      <c r="AR794">
        <f>HYPERLINK("http://catalog.hathitrust.org/Record/000386783","HathiTrust Record")</f>
        <v/>
      </c>
      <c r="AS794">
        <f>HYPERLINK("https://creighton-primo.hosted.exlibrisgroup.com/primo-explore/search?tab=default_tab&amp;search_scope=EVERYTHING&amp;vid=01CRU&amp;lang=en_US&amp;offset=0&amp;query=any,contains,991003528209702656","Catalog Record")</f>
        <v/>
      </c>
      <c r="AT794">
        <f>HYPERLINK("http://www.worldcat.org/oclc/1091832","WorldCat Record")</f>
        <v/>
      </c>
      <c r="AU794" t="inlineStr">
        <is>
          <t>541232:eng</t>
        </is>
      </c>
      <c r="AV794" t="inlineStr">
        <is>
          <t>1091832</t>
        </is>
      </c>
      <c r="AW794" t="inlineStr">
        <is>
          <t>991003528209702656</t>
        </is>
      </c>
      <c r="AX794" t="inlineStr">
        <is>
          <t>991003528209702656</t>
        </is>
      </c>
      <c r="AY794" t="inlineStr">
        <is>
          <t>2265948960002656</t>
        </is>
      </c>
      <c r="AZ794" t="inlineStr">
        <is>
          <t>BOOK</t>
        </is>
      </c>
      <c r="BB794" t="inlineStr">
        <is>
          <t>9780882292038</t>
        </is>
      </c>
      <c r="BC794" t="inlineStr">
        <is>
          <t>32285000086859</t>
        </is>
      </c>
      <c r="BD794" t="inlineStr">
        <is>
          <t>893518571</t>
        </is>
      </c>
    </row>
    <row r="795">
      <c r="A795" t="inlineStr">
        <is>
          <t>No</t>
        </is>
      </c>
      <c r="B795" t="inlineStr">
        <is>
          <t>BF637.C6 D68</t>
        </is>
      </c>
      <c r="C795" t="inlineStr">
        <is>
          <t>0                      BF 0637000C  6                  D  68</t>
        </is>
      </c>
      <c r="D795" t="inlineStr">
        <is>
          <t>Counseling and learning through small-group discussion / by Helen I. Driver and thirty-seven contributors.</t>
        </is>
      </c>
      <c r="F795" t="inlineStr">
        <is>
          <t>No</t>
        </is>
      </c>
      <c r="G795" t="inlineStr">
        <is>
          <t>1</t>
        </is>
      </c>
      <c r="H795" t="inlineStr">
        <is>
          <t>Yes</t>
        </is>
      </c>
      <c r="I795" t="inlineStr">
        <is>
          <t>No</t>
        </is>
      </c>
      <c r="J795" t="inlineStr">
        <is>
          <t>0</t>
        </is>
      </c>
      <c r="K795" t="inlineStr">
        <is>
          <t>Driver, Helen Irene, 1904-</t>
        </is>
      </c>
      <c r="L795" t="inlineStr">
        <is>
          <t>[Madison, Wis. : Monona Publications, 1958]</t>
        </is>
      </c>
      <c r="M795" t="inlineStr">
        <is>
          <t>1958</t>
        </is>
      </c>
      <c r="O795" t="inlineStr">
        <is>
          <t>eng</t>
        </is>
      </c>
      <c r="P795" t="inlineStr">
        <is>
          <t>wiu</t>
        </is>
      </c>
      <c r="R795" t="inlineStr">
        <is>
          <t xml:space="preserve">BF </t>
        </is>
      </c>
      <c r="S795" t="n">
        <v>5</v>
      </c>
      <c r="T795" t="n">
        <v>7</v>
      </c>
      <c r="U795" t="inlineStr">
        <is>
          <t>1997-07-06</t>
        </is>
      </c>
      <c r="V795" t="inlineStr">
        <is>
          <t>1997-07-06</t>
        </is>
      </c>
      <c r="W795" t="inlineStr">
        <is>
          <t>1992-04-02</t>
        </is>
      </c>
      <c r="X795" t="inlineStr">
        <is>
          <t>1992-04-02</t>
        </is>
      </c>
      <c r="Y795" t="n">
        <v>393</v>
      </c>
      <c r="Z795" t="n">
        <v>359</v>
      </c>
      <c r="AA795" t="n">
        <v>431</v>
      </c>
      <c r="AB795" t="n">
        <v>6</v>
      </c>
      <c r="AC795" t="n">
        <v>6</v>
      </c>
      <c r="AD795" t="n">
        <v>16</v>
      </c>
      <c r="AE795" t="n">
        <v>19</v>
      </c>
      <c r="AF795" t="n">
        <v>5</v>
      </c>
      <c r="AG795" t="n">
        <v>7</v>
      </c>
      <c r="AH795" t="n">
        <v>1</v>
      </c>
      <c r="AI795" t="n">
        <v>2</v>
      </c>
      <c r="AJ795" t="n">
        <v>9</v>
      </c>
      <c r="AK795" t="n">
        <v>10</v>
      </c>
      <c r="AL795" t="n">
        <v>3</v>
      </c>
      <c r="AM795" t="n">
        <v>3</v>
      </c>
      <c r="AN795" t="n">
        <v>0</v>
      </c>
      <c r="AO795" t="n">
        <v>0</v>
      </c>
      <c r="AP795" t="inlineStr">
        <is>
          <t>No</t>
        </is>
      </c>
      <c r="AQ795" t="inlineStr">
        <is>
          <t>No</t>
        </is>
      </c>
      <c r="AR795">
        <f>HYPERLINK("http://catalog.hathitrust.org/Record/000386791","HathiTrust Record")</f>
        <v/>
      </c>
      <c r="AS795">
        <f>HYPERLINK("https://creighton-primo.hosted.exlibrisgroup.com/primo-explore/search?tab=default_tab&amp;search_scope=EVERYTHING&amp;vid=01CRU&amp;lang=en_US&amp;offset=0&amp;query=any,contains,991001762509702656","Catalog Record")</f>
        <v/>
      </c>
      <c r="AT795">
        <f>HYPERLINK("http://www.worldcat.org/oclc/194124","WorldCat Record")</f>
        <v/>
      </c>
      <c r="AU795" t="inlineStr">
        <is>
          <t>1358758:eng</t>
        </is>
      </c>
      <c r="AV795" t="inlineStr">
        <is>
          <t>194124</t>
        </is>
      </c>
      <c r="AW795" t="inlineStr">
        <is>
          <t>991001762509702656</t>
        </is>
      </c>
      <c r="AX795" t="inlineStr">
        <is>
          <t>991001762509702656</t>
        </is>
      </c>
      <c r="AY795" t="inlineStr">
        <is>
          <t>2269323590002656</t>
        </is>
      </c>
      <c r="AZ795" t="inlineStr">
        <is>
          <t>BOOK</t>
        </is>
      </c>
      <c r="BC795" t="inlineStr">
        <is>
          <t>32285001032969</t>
        </is>
      </c>
      <c r="BD795" t="inlineStr">
        <is>
          <t>893872778</t>
        </is>
      </c>
    </row>
    <row r="796">
      <c r="A796" t="inlineStr">
        <is>
          <t>No</t>
        </is>
      </c>
      <c r="B796" t="inlineStr">
        <is>
          <t>BF637.C6 E45</t>
        </is>
      </c>
      <c r="C796" t="inlineStr">
        <is>
          <t>0                      BF 0637000C  6                  E  45</t>
        </is>
      </c>
      <c r="D796" t="inlineStr">
        <is>
          <t>Helping clients with special concerns / Sheldon Eisenberg, Lewis E. Patterson.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K796" t="inlineStr">
        <is>
          <t>Eisenberg, Sheldon, compiler.</t>
        </is>
      </c>
      <c r="L796" t="inlineStr">
        <is>
          <t>Chicago : Rand McNally College Publishing, 1979.</t>
        </is>
      </c>
      <c r="M796" t="inlineStr">
        <is>
          <t>1979</t>
        </is>
      </c>
      <c r="O796" t="inlineStr">
        <is>
          <t>eng</t>
        </is>
      </c>
      <c r="P796" t="inlineStr">
        <is>
          <t>ilu</t>
        </is>
      </c>
      <c r="R796" t="inlineStr">
        <is>
          <t xml:space="preserve">BF </t>
        </is>
      </c>
      <c r="S796" t="n">
        <v>3</v>
      </c>
      <c r="T796" t="n">
        <v>3</v>
      </c>
      <c r="U796" t="inlineStr">
        <is>
          <t>2005-10-14</t>
        </is>
      </c>
      <c r="V796" t="inlineStr">
        <is>
          <t>2005-10-14</t>
        </is>
      </c>
      <c r="W796" t="inlineStr">
        <is>
          <t>1990-05-24</t>
        </is>
      </c>
      <c r="X796" t="inlineStr">
        <is>
          <t>1990-05-24</t>
        </is>
      </c>
      <c r="Y796" t="n">
        <v>204</v>
      </c>
      <c r="Z796" t="n">
        <v>162</v>
      </c>
      <c r="AA796" t="n">
        <v>204</v>
      </c>
      <c r="AB796" t="n">
        <v>2</v>
      </c>
      <c r="AC796" t="n">
        <v>2</v>
      </c>
      <c r="AD796" t="n">
        <v>7</v>
      </c>
      <c r="AE796" t="n">
        <v>8</v>
      </c>
      <c r="AF796" t="n">
        <v>1</v>
      </c>
      <c r="AG796" t="n">
        <v>2</v>
      </c>
      <c r="AH796" t="n">
        <v>1</v>
      </c>
      <c r="AI796" t="n">
        <v>1</v>
      </c>
      <c r="AJ796" t="n">
        <v>6</v>
      </c>
      <c r="AK796" t="n">
        <v>7</v>
      </c>
      <c r="AL796" t="n">
        <v>1</v>
      </c>
      <c r="AM796" t="n">
        <v>1</v>
      </c>
      <c r="AN796" t="n">
        <v>0</v>
      </c>
      <c r="AO796" t="n">
        <v>0</v>
      </c>
      <c r="AP796" t="inlineStr">
        <is>
          <t>No</t>
        </is>
      </c>
      <c r="AQ796" t="inlineStr">
        <is>
          <t>No</t>
        </is>
      </c>
      <c r="AS796">
        <f>HYPERLINK("https://creighton-primo.hosted.exlibrisgroup.com/primo-explore/search?tab=default_tab&amp;search_scope=EVERYTHING&amp;vid=01CRU&amp;lang=en_US&amp;offset=0&amp;query=any,contains,991004770499702656","Catalog Record")</f>
        <v/>
      </c>
      <c r="AT796">
        <f>HYPERLINK("http://www.worldcat.org/oclc/5057545","WorldCat Record")</f>
        <v/>
      </c>
      <c r="AU796" t="inlineStr">
        <is>
          <t>15154450:eng</t>
        </is>
      </c>
      <c r="AV796" t="inlineStr">
        <is>
          <t>5057545</t>
        </is>
      </c>
      <c r="AW796" t="inlineStr">
        <is>
          <t>991004770499702656</t>
        </is>
      </c>
      <c r="AX796" t="inlineStr">
        <is>
          <t>991004770499702656</t>
        </is>
      </c>
      <c r="AY796" t="inlineStr">
        <is>
          <t>2258116430002656</t>
        </is>
      </c>
      <c r="AZ796" t="inlineStr">
        <is>
          <t>BOOK</t>
        </is>
      </c>
      <c r="BC796" t="inlineStr">
        <is>
          <t>32285000166032</t>
        </is>
      </c>
      <c r="BD796" t="inlineStr">
        <is>
          <t>893600213</t>
        </is>
      </c>
    </row>
    <row r="797">
      <c r="A797" t="inlineStr">
        <is>
          <t>No</t>
        </is>
      </c>
      <c r="B797" t="inlineStr">
        <is>
          <t>BF637.C6 F8</t>
        </is>
      </c>
      <c r="C797" t="inlineStr">
        <is>
          <t>0                      BF 0637000C  6                  F  8</t>
        </is>
      </c>
      <c r="D797" t="inlineStr">
        <is>
          <t>Counseling : content and process / by Daniel W. Fullmer and Harold W. Bernard.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K797" t="inlineStr">
        <is>
          <t>Fullmer, Daniel W.</t>
        </is>
      </c>
      <c r="L797" t="inlineStr">
        <is>
          <t>Chicago : Science Research Associates, [1964]</t>
        </is>
      </c>
      <c r="M797" t="inlineStr">
        <is>
          <t>1964</t>
        </is>
      </c>
      <c r="O797" t="inlineStr">
        <is>
          <t>eng</t>
        </is>
      </c>
      <c r="P797" t="inlineStr">
        <is>
          <t>ilu</t>
        </is>
      </c>
      <c r="Q797" t="inlineStr">
        <is>
          <t>Professional guidance series</t>
        </is>
      </c>
      <c r="R797" t="inlineStr">
        <is>
          <t xml:space="preserve">BF </t>
        </is>
      </c>
      <c r="S797" t="n">
        <v>3</v>
      </c>
      <c r="T797" t="n">
        <v>3</v>
      </c>
      <c r="U797" t="inlineStr">
        <is>
          <t>1995-12-01</t>
        </is>
      </c>
      <c r="V797" t="inlineStr">
        <is>
          <t>1995-12-01</t>
        </is>
      </c>
      <c r="W797" t="inlineStr">
        <is>
          <t>1991-12-23</t>
        </is>
      </c>
      <c r="X797" t="inlineStr">
        <is>
          <t>1991-12-23</t>
        </is>
      </c>
      <c r="Y797" t="n">
        <v>316</v>
      </c>
      <c r="Z797" t="n">
        <v>278</v>
      </c>
      <c r="AA797" t="n">
        <v>282</v>
      </c>
      <c r="AB797" t="n">
        <v>2</v>
      </c>
      <c r="AC797" t="n">
        <v>2</v>
      </c>
      <c r="AD797" t="n">
        <v>17</v>
      </c>
      <c r="AE797" t="n">
        <v>17</v>
      </c>
      <c r="AF797" t="n">
        <v>8</v>
      </c>
      <c r="AG797" t="n">
        <v>8</v>
      </c>
      <c r="AH797" t="n">
        <v>3</v>
      </c>
      <c r="AI797" t="n">
        <v>3</v>
      </c>
      <c r="AJ797" t="n">
        <v>12</v>
      </c>
      <c r="AK797" t="n">
        <v>12</v>
      </c>
      <c r="AL797" t="n">
        <v>1</v>
      </c>
      <c r="AM797" t="n">
        <v>1</v>
      </c>
      <c r="AN797" t="n">
        <v>0</v>
      </c>
      <c r="AO797" t="n">
        <v>0</v>
      </c>
      <c r="AP797" t="inlineStr">
        <is>
          <t>No</t>
        </is>
      </c>
      <c r="AQ797" t="inlineStr">
        <is>
          <t>Yes</t>
        </is>
      </c>
      <c r="AR797">
        <f>HYPERLINK("http://catalog.hathitrust.org/Record/000387474","HathiTrust Record")</f>
        <v/>
      </c>
      <c r="AS797">
        <f>HYPERLINK("https://creighton-primo.hosted.exlibrisgroup.com/primo-explore/search?tab=default_tab&amp;search_scope=EVERYTHING&amp;vid=01CRU&amp;lang=en_US&amp;offset=0&amp;query=any,contains,991005253679702656","Catalog Record")</f>
        <v/>
      </c>
      <c r="AT797">
        <f>HYPERLINK("http://www.worldcat.org/oclc/222714","WorldCat Record")</f>
        <v/>
      </c>
      <c r="AU797" t="inlineStr">
        <is>
          <t>1329428:eng</t>
        </is>
      </c>
      <c r="AV797" t="inlineStr">
        <is>
          <t>222714</t>
        </is>
      </c>
      <c r="AW797" t="inlineStr">
        <is>
          <t>991005253679702656</t>
        </is>
      </c>
      <c r="AX797" t="inlineStr">
        <is>
          <t>991005253679702656</t>
        </is>
      </c>
      <c r="AY797" t="inlineStr">
        <is>
          <t>2262319340002656</t>
        </is>
      </c>
      <c r="AZ797" t="inlineStr">
        <is>
          <t>BOOK</t>
        </is>
      </c>
      <c r="BC797" t="inlineStr">
        <is>
          <t>32285000879428</t>
        </is>
      </c>
      <c r="BD797" t="inlineStr">
        <is>
          <t>893600888</t>
        </is>
      </c>
    </row>
    <row r="798">
      <c r="A798" t="inlineStr">
        <is>
          <t>No</t>
        </is>
      </c>
      <c r="B798" t="inlineStr">
        <is>
          <t>BF637.C6 G36</t>
        </is>
      </c>
      <c r="C798" t="inlineStr">
        <is>
          <t>0                      BF 0637000C  6                  G  36</t>
        </is>
      </c>
      <c r="D798" t="inlineStr">
        <is>
          <t>Group counseling : a developmental approach / [by] George M. Gazda.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K798" t="inlineStr">
        <is>
          <t>Gazda, George Michael, 1931-</t>
        </is>
      </c>
      <c r="L798" t="inlineStr">
        <is>
          <t>Boston : Allyn and Bacon, [1971]</t>
        </is>
      </c>
      <c r="M798" t="inlineStr">
        <is>
          <t>1971</t>
        </is>
      </c>
      <c r="O798" t="inlineStr">
        <is>
          <t>eng</t>
        </is>
      </c>
      <c r="P798" t="inlineStr">
        <is>
          <t>mau</t>
        </is>
      </c>
      <c r="R798" t="inlineStr">
        <is>
          <t xml:space="preserve">BF </t>
        </is>
      </c>
      <c r="S798" t="n">
        <v>7</v>
      </c>
      <c r="T798" t="n">
        <v>7</v>
      </c>
      <c r="U798" t="inlineStr">
        <is>
          <t>1997-07-06</t>
        </is>
      </c>
      <c r="V798" t="inlineStr">
        <is>
          <t>1997-07-06</t>
        </is>
      </c>
      <c r="W798" t="inlineStr">
        <is>
          <t>1992-05-28</t>
        </is>
      </c>
      <c r="X798" t="inlineStr">
        <is>
          <t>1992-05-28</t>
        </is>
      </c>
      <c r="Y798" t="n">
        <v>452</v>
      </c>
      <c r="Z798" t="n">
        <v>407</v>
      </c>
      <c r="AA798" t="n">
        <v>728</v>
      </c>
      <c r="AB798" t="n">
        <v>5</v>
      </c>
      <c r="AC798" t="n">
        <v>7</v>
      </c>
      <c r="AD798" t="n">
        <v>17</v>
      </c>
      <c r="AE798" t="n">
        <v>36</v>
      </c>
      <c r="AF798" t="n">
        <v>7</v>
      </c>
      <c r="AG798" t="n">
        <v>14</v>
      </c>
      <c r="AH798" t="n">
        <v>5</v>
      </c>
      <c r="AI798" t="n">
        <v>8</v>
      </c>
      <c r="AJ798" t="n">
        <v>7</v>
      </c>
      <c r="AK798" t="n">
        <v>20</v>
      </c>
      <c r="AL798" t="n">
        <v>4</v>
      </c>
      <c r="AM798" t="n">
        <v>6</v>
      </c>
      <c r="AN798" t="n">
        <v>0</v>
      </c>
      <c r="AO798" t="n">
        <v>0</v>
      </c>
      <c r="AP798" t="inlineStr">
        <is>
          <t>No</t>
        </is>
      </c>
      <c r="AQ798" t="inlineStr">
        <is>
          <t>Yes</t>
        </is>
      </c>
      <c r="AR798">
        <f>HYPERLINK("http://catalog.hathitrust.org/Record/006704137","HathiTrust Record")</f>
        <v/>
      </c>
      <c r="AS798">
        <f>HYPERLINK("https://creighton-primo.hosted.exlibrisgroup.com/primo-explore/search?tab=default_tab&amp;search_scope=EVERYTHING&amp;vid=01CRU&amp;lang=en_US&amp;offset=0&amp;query=any,contains,991000922239702656","Catalog Record")</f>
        <v/>
      </c>
      <c r="AT798">
        <f>HYPERLINK("http://www.worldcat.org/oclc/162082","WorldCat Record")</f>
        <v/>
      </c>
      <c r="AU798" t="inlineStr">
        <is>
          <t>1270589:eng</t>
        </is>
      </c>
      <c r="AV798" t="inlineStr">
        <is>
          <t>162082</t>
        </is>
      </c>
      <c r="AW798" t="inlineStr">
        <is>
          <t>991000922239702656</t>
        </is>
      </c>
      <c r="AX798" t="inlineStr">
        <is>
          <t>991000922239702656</t>
        </is>
      </c>
      <c r="AY798" t="inlineStr">
        <is>
          <t>2268979710002656</t>
        </is>
      </c>
      <c r="AZ798" t="inlineStr">
        <is>
          <t>BOOK</t>
        </is>
      </c>
      <c r="BC798" t="inlineStr">
        <is>
          <t>32285001113512</t>
        </is>
      </c>
      <c r="BD798" t="inlineStr">
        <is>
          <t>893784633</t>
        </is>
      </c>
    </row>
    <row r="799">
      <c r="A799" t="inlineStr">
        <is>
          <t>No</t>
        </is>
      </c>
      <c r="B799" t="inlineStr">
        <is>
          <t>BF637.C6 G5</t>
        </is>
      </c>
      <c r="C799" t="inlineStr">
        <is>
          <t>0                      BF 0637000C  6                  G  5</t>
        </is>
      </c>
      <c r="D799" t="inlineStr">
        <is>
          <t>The counselor-in-training [by] Susan K. Gilmore.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Gilmore, Susan.</t>
        </is>
      </c>
      <c r="L799" t="inlineStr">
        <is>
          <t>New York, Appleton-Century-Crofts [1973]</t>
        </is>
      </c>
      <c r="M799" t="inlineStr">
        <is>
          <t>1973</t>
        </is>
      </c>
      <c r="O799" t="inlineStr">
        <is>
          <t>eng</t>
        </is>
      </c>
      <c r="P799" t="inlineStr">
        <is>
          <t>nyu</t>
        </is>
      </c>
      <c r="Q799" t="inlineStr">
        <is>
          <t>Century psychology series</t>
        </is>
      </c>
      <c r="R799" t="inlineStr">
        <is>
          <t xml:space="preserve">BF </t>
        </is>
      </c>
      <c r="S799" t="n">
        <v>7</v>
      </c>
      <c r="T799" t="n">
        <v>7</v>
      </c>
      <c r="U799" t="inlineStr">
        <is>
          <t>1997-10-21</t>
        </is>
      </c>
      <c r="V799" t="inlineStr">
        <is>
          <t>1997-10-21</t>
        </is>
      </c>
      <c r="W799" t="inlineStr">
        <is>
          <t>1990-06-28</t>
        </is>
      </c>
      <c r="X799" t="inlineStr">
        <is>
          <t>1990-06-28</t>
        </is>
      </c>
      <c r="Y799" t="n">
        <v>281</v>
      </c>
      <c r="Z799" t="n">
        <v>225</v>
      </c>
      <c r="AA799" t="n">
        <v>288</v>
      </c>
      <c r="AB799" t="n">
        <v>3</v>
      </c>
      <c r="AC799" t="n">
        <v>3</v>
      </c>
      <c r="AD799" t="n">
        <v>11</v>
      </c>
      <c r="AE799" t="n">
        <v>13</v>
      </c>
      <c r="AF799" t="n">
        <v>5</v>
      </c>
      <c r="AG799" t="n">
        <v>6</v>
      </c>
      <c r="AH799" t="n">
        <v>2</v>
      </c>
      <c r="AI799" t="n">
        <v>2</v>
      </c>
      <c r="AJ799" t="n">
        <v>5</v>
      </c>
      <c r="AK799" t="n">
        <v>7</v>
      </c>
      <c r="AL799" t="n">
        <v>2</v>
      </c>
      <c r="AM799" t="n">
        <v>2</v>
      </c>
      <c r="AN799" t="n">
        <v>0</v>
      </c>
      <c r="AO799" t="n">
        <v>0</v>
      </c>
      <c r="AP799" t="inlineStr">
        <is>
          <t>No</t>
        </is>
      </c>
      <c r="AQ799" t="inlineStr">
        <is>
          <t>Yes</t>
        </is>
      </c>
      <c r="AR799">
        <f>HYPERLINK("http://catalog.hathitrust.org/Record/000387475","HathiTrust Record")</f>
        <v/>
      </c>
      <c r="AS799">
        <f>HYPERLINK("https://creighton-primo.hosted.exlibrisgroup.com/primo-explore/search?tab=default_tab&amp;search_scope=EVERYTHING&amp;vid=01CRU&amp;lang=en_US&amp;offset=0&amp;query=any,contains,991003113269702656","Catalog Record")</f>
        <v/>
      </c>
      <c r="AT799">
        <f>HYPERLINK("http://www.worldcat.org/oclc/658112","WorldCat Record")</f>
        <v/>
      </c>
      <c r="AU799" t="inlineStr">
        <is>
          <t>2359483:eng</t>
        </is>
      </c>
      <c r="AV799" t="inlineStr">
        <is>
          <t>658112</t>
        </is>
      </c>
      <c r="AW799" t="inlineStr">
        <is>
          <t>991003113269702656</t>
        </is>
      </c>
      <c r="AX799" t="inlineStr">
        <is>
          <t>991003113269702656</t>
        </is>
      </c>
      <c r="AY799" t="inlineStr">
        <is>
          <t>2260060840002656</t>
        </is>
      </c>
      <c r="AZ799" t="inlineStr">
        <is>
          <t>BOOK</t>
        </is>
      </c>
      <c r="BB799" t="inlineStr">
        <is>
          <t>9780390365286</t>
        </is>
      </c>
      <c r="BC799" t="inlineStr">
        <is>
          <t>32285000217009</t>
        </is>
      </c>
      <c r="BD799" t="inlineStr">
        <is>
          <t>893698682</t>
        </is>
      </c>
    </row>
    <row r="800">
      <c r="A800" t="inlineStr">
        <is>
          <t>No</t>
        </is>
      </c>
      <c r="B800" t="inlineStr">
        <is>
          <t>BF637.C6 G7</t>
        </is>
      </c>
      <c r="C800" t="inlineStr">
        <is>
          <t>0                      BF 0637000C  6                  G  7</t>
        </is>
      </c>
      <c r="D800" t="inlineStr">
        <is>
          <t>Peer counseling : in-depth look at training peer helpers / H. Dean Gray, Judy A. Tindall.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K800" t="inlineStr">
        <is>
          <t>Gray, H. Dean (Harold Dean)</t>
        </is>
      </c>
      <c r="L800" t="inlineStr">
        <is>
          <t>Muncie, IN : Accelerated Development, 1978.</t>
        </is>
      </c>
      <c r="M800" t="inlineStr">
        <is>
          <t>1978</t>
        </is>
      </c>
      <c r="O800" t="inlineStr">
        <is>
          <t>eng</t>
        </is>
      </c>
      <c r="P800" t="inlineStr">
        <is>
          <t>inu</t>
        </is>
      </c>
      <c r="R800" t="inlineStr">
        <is>
          <t xml:space="preserve">BF </t>
        </is>
      </c>
      <c r="S800" t="n">
        <v>3</v>
      </c>
      <c r="T800" t="n">
        <v>3</v>
      </c>
      <c r="U800" t="inlineStr">
        <is>
          <t>1999-03-25</t>
        </is>
      </c>
      <c r="V800" t="inlineStr">
        <is>
          <t>1999-03-25</t>
        </is>
      </c>
      <c r="W800" t="inlineStr">
        <is>
          <t>1990-06-28</t>
        </is>
      </c>
      <c r="X800" t="inlineStr">
        <is>
          <t>1990-06-28</t>
        </is>
      </c>
      <c r="Y800" t="n">
        <v>237</v>
      </c>
      <c r="Z800" t="n">
        <v>218</v>
      </c>
      <c r="AA800" t="n">
        <v>370</v>
      </c>
      <c r="AB800" t="n">
        <v>4</v>
      </c>
      <c r="AC800" t="n">
        <v>5</v>
      </c>
      <c r="AD800" t="n">
        <v>12</v>
      </c>
      <c r="AE800" t="n">
        <v>17</v>
      </c>
      <c r="AF800" t="n">
        <v>4</v>
      </c>
      <c r="AG800" t="n">
        <v>7</v>
      </c>
      <c r="AH800" t="n">
        <v>1</v>
      </c>
      <c r="AI800" t="n">
        <v>1</v>
      </c>
      <c r="AJ800" t="n">
        <v>7</v>
      </c>
      <c r="AK800" t="n">
        <v>9</v>
      </c>
      <c r="AL800" t="n">
        <v>3</v>
      </c>
      <c r="AM800" t="n">
        <v>4</v>
      </c>
      <c r="AN800" t="n">
        <v>0</v>
      </c>
      <c r="AO800" t="n">
        <v>0</v>
      </c>
      <c r="AP800" t="inlineStr">
        <is>
          <t>No</t>
        </is>
      </c>
      <c r="AQ800" t="inlineStr">
        <is>
          <t>Yes</t>
        </is>
      </c>
      <c r="AR800">
        <f>HYPERLINK("http://catalog.hathitrust.org/Record/000102892","HathiTrust Record")</f>
        <v/>
      </c>
      <c r="AS800">
        <f>HYPERLINK("https://creighton-primo.hosted.exlibrisgroup.com/primo-explore/search?tab=default_tab&amp;search_scope=EVERYTHING&amp;vid=01CRU&amp;lang=en_US&amp;offset=0&amp;query=any,contains,991004581589702656","Catalog Record")</f>
        <v/>
      </c>
      <c r="AT800">
        <f>HYPERLINK("http://www.worldcat.org/oclc/4062144","WorldCat Record")</f>
        <v/>
      </c>
      <c r="AU800" t="inlineStr">
        <is>
          <t>2287204999:eng</t>
        </is>
      </c>
      <c r="AV800" t="inlineStr">
        <is>
          <t>4062144</t>
        </is>
      </c>
      <c r="AW800" t="inlineStr">
        <is>
          <t>991004581589702656</t>
        </is>
      </c>
      <c r="AX800" t="inlineStr">
        <is>
          <t>991004581589702656</t>
        </is>
      </c>
      <c r="AY800" t="inlineStr">
        <is>
          <t>2264358060002656</t>
        </is>
      </c>
      <c r="AZ800" t="inlineStr">
        <is>
          <t>BOOK</t>
        </is>
      </c>
      <c r="BB800" t="inlineStr">
        <is>
          <t>9780915202133</t>
        </is>
      </c>
      <c r="BC800" t="inlineStr">
        <is>
          <t>32285000217017</t>
        </is>
      </c>
      <c r="BD800" t="inlineStr">
        <is>
          <t>893600004</t>
        </is>
      </c>
    </row>
    <row r="801">
      <c r="A801" t="inlineStr">
        <is>
          <t>No</t>
        </is>
      </c>
      <c r="B801" t="inlineStr">
        <is>
          <t>BF637.C6 H26</t>
        </is>
      </c>
      <c r="C801" t="inlineStr">
        <is>
          <t>0                      BF 0637000C  6                  H  26</t>
        </is>
      </c>
      <c r="D801" t="inlineStr">
        <is>
          <t>Clinical and counseling psychology.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Hadley, John M. (John Millard), 1915-1970.</t>
        </is>
      </c>
      <c r="L801" t="inlineStr">
        <is>
          <t>New York, Knopf, 1958.</t>
        </is>
      </c>
      <c r="M801" t="inlineStr">
        <is>
          <t>1958</t>
        </is>
      </c>
      <c r="N801" t="inlineStr">
        <is>
          <t>[1st ed.]</t>
        </is>
      </c>
      <c r="O801" t="inlineStr">
        <is>
          <t>eng</t>
        </is>
      </c>
      <c r="P801" t="inlineStr">
        <is>
          <t>nyu</t>
        </is>
      </c>
      <c r="R801" t="inlineStr">
        <is>
          <t xml:space="preserve">BF </t>
        </is>
      </c>
      <c r="S801" t="n">
        <v>1</v>
      </c>
      <c r="T801" t="n">
        <v>1</v>
      </c>
      <c r="U801" t="inlineStr">
        <is>
          <t>1998-05-04</t>
        </is>
      </c>
      <c r="V801" t="inlineStr">
        <is>
          <t>1998-05-04</t>
        </is>
      </c>
      <c r="W801" t="inlineStr">
        <is>
          <t>1996-08-01</t>
        </is>
      </c>
      <c r="X801" t="inlineStr">
        <is>
          <t>1996-08-01</t>
        </is>
      </c>
      <c r="Y801" t="n">
        <v>305</v>
      </c>
      <c r="Z801" t="n">
        <v>267</v>
      </c>
      <c r="AA801" t="n">
        <v>410</v>
      </c>
      <c r="AB801" t="n">
        <v>3</v>
      </c>
      <c r="AC801" t="n">
        <v>4</v>
      </c>
      <c r="AD801" t="n">
        <v>15</v>
      </c>
      <c r="AE801" t="n">
        <v>24</v>
      </c>
      <c r="AF801" t="n">
        <v>6</v>
      </c>
      <c r="AG801" t="n">
        <v>10</v>
      </c>
      <c r="AH801" t="n">
        <v>5</v>
      </c>
      <c r="AI801" t="n">
        <v>6</v>
      </c>
      <c r="AJ801" t="n">
        <v>7</v>
      </c>
      <c r="AK801" t="n">
        <v>10</v>
      </c>
      <c r="AL801" t="n">
        <v>2</v>
      </c>
      <c r="AM801" t="n">
        <v>3</v>
      </c>
      <c r="AN801" t="n">
        <v>0</v>
      </c>
      <c r="AO801" t="n">
        <v>0</v>
      </c>
      <c r="AP801" t="inlineStr">
        <is>
          <t>Yes</t>
        </is>
      </c>
      <c r="AQ801" t="inlineStr">
        <is>
          <t>No</t>
        </is>
      </c>
      <c r="AR801">
        <f>HYPERLINK("http://catalog.hathitrust.org/Record/000386822","HathiTrust Record")</f>
        <v/>
      </c>
      <c r="AS801">
        <f>HYPERLINK("https://creighton-primo.hosted.exlibrisgroup.com/primo-explore/search?tab=default_tab&amp;search_scope=EVERYTHING&amp;vid=01CRU&amp;lang=en_US&amp;offset=0&amp;query=any,contains,991004310329702656","Catalog Record")</f>
        <v/>
      </c>
      <c r="AT801">
        <f>HYPERLINK("http://www.worldcat.org/oclc/2991280","WorldCat Record")</f>
        <v/>
      </c>
      <c r="AU801" t="inlineStr">
        <is>
          <t>1358946:eng</t>
        </is>
      </c>
      <c r="AV801" t="inlineStr">
        <is>
          <t>2991280</t>
        </is>
      </c>
      <c r="AW801" t="inlineStr">
        <is>
          <t>991004310329702656</t>
        </is>
      </c>
      <c r="AX801" t="inlineStr">
        <is>
          <t>991004310329702656</t>
        </is>
      </c>
      <c r="AY801" t="inlineStr">
        <is>
          <t>2256402300002656</t>
        </is>
      </c>
      <c r="AZ801" t="inlineStr">
        <is>
          <t>BOOK</t>
        </is>
      </c>
      <c r="BC801" t="inlineStr">
        <is>
          <t>32285002252012</t>
        </is>
      </c>
      <c r="BD801" t="inlineStr">
        <is>
          <t>893875947</t>
        </is>
      </c>
    </row>
    <row r="802">
      <c r="A802" t="inlineStr">
        <is>
          <t>No</t>
        </is>
      </c>
      <c r="B802" t="inlineStr">
        <is>
          <t>BF637.C6 H3</t>
        </is>
      </c>
      <c r="C802" t="inlineStr">
        <is>
          <t>0                      BF 0637000C  6                  H  3</t>
        </is>
      </c>
      <c r="D802" t="inlineStr">
        <is>
          <t>Counseling adolescents, by Shirley A. Hamrin and Blanche B. Paulson.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Hamrin, Shirley Austin, 1900-</t>
        </is>
      </c>
      <c r="L802" t="inlineStr">
        <is>
          <t>Chicago, Science Research Associates, 1950.</t>
        </is>
      </c>
      <c r="M802" t="inlineStr">
        <is>
          <t>1950</t>
        </is>
      </c>
      <c r="O802" t="inlineStr">
        <is>
          <t>eng</t>
        </is>
      </c>
      <c r="P802" t="inlineStr">
        <is>
          <t>ilu</t>
        </is>
      </c>
      <c r="Q802" t="inlineStr">
        <is>
          <t>Professional guidance series</t>
        </is>
      </c>
      <c r="R802" t="inlineStr">
        <is>
          <t xml:space="preserve">BF </t>
        </is>
      </c>
      <c r="S802" t="n">
        <v>1</v>
      </c>
      <c r="T802" t="n">
        <v>1</v>
      </c>
      <c r="U802" t="inlineStr">
        <is>
          <t>2002-06-26</t>
        </is>
      </c>
      <c r="V802" t="inlineStr">
        <is>
          <t>2002-06-26</t>
        </is>
      </c>
      <c r="W802" t="inlineStr">
        <is>
          <t>1996-08-01</t>
        </is>
      </c>
      <c r="X802" t="inlineStr">
        <is>
          <t>1996-08-01</t>
        </is>
      </c>
      <c r="Y802" t="n">
        <v>416</v>
      </c>
      <c r="Z802" t="n">
        <v>374</v>
      </c>
      <c r="AA802" t="n">
        <v>375</v>
      </c>
      <c r="AB802" t="n">
        <v>3</v>
      </c>
      <c r="AC802" t="n">
        <v>3</v>
      </c>
      <c r="AD802" t="n">
        <v>19</v>
      </c>
      <c r="AE802" t="n">
        <v>19</v>
      </c>
      <c r="AF802" t="n">
        <v>9</v>
      </c>
      <c r="AG802" t="n">
        <v>9</v>
      </c>
      <c r="AH802" t="n">
        <v>4</v>
      </c>
      <c r="AI802" t="n">
        <v>4</v>
      </c>
      <c r="AJ802" t="n">
        <v>7</v>
      </c>
      <c r="AK802" t="n">
        <v>7</v>
      </c>
      <c r="AL802" t="n">
        <v>2</v>
      </c>
      <c r="AM802" t="n">
        <v>2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HYPERLINK("http://catalog.hathitrust.org/Record/006246743","HathiTrust Record")</f>
        <v/>
      </c>
      <c r="AS802">
        <f>HYPERLINK("https://creighton-primo.hosted.exlibrisgroup.com/primo-explore/search?tab=default_tab&amp;search_scope=EVERYTHING&amp;vid=01CRU&amp;lang=en_US&amp;offset=0&amp;query=any,contains,991005253719702656","Catalog Record")</f>
        <v/>
      </c>
      <c r="AT802">
        <f>HYPERLINK("http://www.worldcat.org/oclc/222718","WorldCat Record")</f>
        <v/>
      </c>
      <c r="AU802" t="inlineStr">
        <is>
          <t>1329437:eng</t>
        </is>
      </c>
      <c r="AV802" t="inlineStr">
        <is>
          <t>222718</t>
        </is>
      </c>
      <c r="AW802" t="inlineStr">
        <is>
          <t>991005253719702656</t>
        </is>
      </c>
      <c r="AX802" t="inlineStr">
        <is>
          <t>991005253719702656</t>
        </is>
      </c>
      <c r="AY802" t="inlineStr">
        <is>
          <t>2262300360002656</t>
        </is>
      </c>
      <c r="AZ802" t="inlineStr">
        <is>
          <t>BOOK</t>
        </is>
      </c>
      <c r="BC802" t="inlineStr">
        <is>
          <t>32285002252046</t>
        </is>
      </c>
      <c r="BD802" t="inlineStr">
        <is>
          <t>893802007</t>
        </is>
      </c>
    </row>
    <row r="803">
      <c r="A803" t="inlineStr">
        <is>
          <t>No</t>
        </is>
      </c>
      <c r="B803" t="inlineStr">
        <is>
          <t>BF637.C6 H323</t>
        </is>
      </c>
      <c r="C803" t="inlineStr">
        <is>
          <t>0                      BF 0637000C  6                  H  323</t>
        </is>
      </c>
      <c r="D803" t="inlineStr">
        <is>
          <t>Counseling process and procedures / James C. Hansen.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Hansen, James C.</t>
        </is>
      </c>
      <c r="L803" t="inlineStr">
        <is>
          <t>New York : Macmillan, c1978.</t>
        </is>
      </c>
      <c r="M803" t="inlineStr">
        <is>
          <t>1978</t>
        </is>
      </c>
      <c r="O803" t="inlineStr">
        <is>
          <t>eng</t>
        </is>
      </c>
      <c r="P803" t="inlineStr">
        <is>
          <t>nyu</t>
        </is>
      </c>
      <c r="R803" t="inlineStr">
        <is>
          <t xml:space="preserve">BF </t>
        </is>
      </c>
      <c r="S803" t="n">
        <v>6</v>
      </c>
      <c r="T803" t="n">
        <v>6</v>
      </c>
      <c r="U803" t="inlineStr">
        <is>
          <t>1995-12-01</t>
        </is>
      </c>
      <c r="V803" t="inlineStr">
        <is>
          <t>1995-12-01</t>
        </is>
      </c>
      <c r="W803" t="inlineStr">
        <is>
          <t>1990-06-26</t>
        </is>
      </c>
      <c r="X803" t="inlineStr">
        <is>
          <t>1990-06-26</t>
        </is>
      </c>
      <c r="Y803" t="n">
        <v>261</v>
      </c>
      <c r="Z803" t="n">
        <v>188</v>
      </c>
      <c r="AA803" t="n">
        <v>188</v>
      </c>
      <c r="AB803" t="n">
        <v>3</v>
      </c>
      <c r="AC803" t="n">
        <v>3</v>
      </c>
      <c r="AD803" t="n">
        <v>11</v>
      </c>
      <c r="AE803" t="n">
        <v>11</v>
      </c>
      <c r="AF803" t="n">
        <v>5</v>
      </c>
      <c r="AG803" t="n">
        <v>5</v>
      </c>
      <c r="AH803" t="n">
        <v>2</v>
      </c>
      <c r="AI803" t="n">
        <v>2</v>
      </c>
      <c r="AJ803" t="n">
        <v>4</v>
      </c>
      <c r="AK803" t="n">
        <v>4</v>
      </c>
      <c r="AL803" t="n">
        <v>2</v>
      </c>
      <c r="AM803" t="n">
        <v>2</v>
      </c>
      <c r="AN803" t="n">
        <v>0</v>
      </c>
      <c r="AO803" t="n">
        <v>0</v>
      </c>
      <c r="AP803" t="inlineStr">
        <is>
          <t>No</t>
        </is>
      </c>
      <c r="AQ803" t="inlineStr">
        <is>
          <t>No</t>
        </is>
      </c>
      <c r="AS803">
        <f>HYPERLINK("https://creighton-primo.hosted.exlibrisgroup.com/primo-explore/search?tab=default_tab&amp;search_scope=EVERYTHING&amp;vid=01CRU&amp;lang=en_US&amp;offset=0&amp;query=any,contains,991004361419702656","Catalog Record")</f>
        <v/>
      </c>
      <c r="AT803">
        <f>HYPERLINK("http://www.worldcat.org/oclc/3167623","WorldCat Record")</f>
        <v/>
      </c>
      <c r="AU803" t="inlineStr">
        <is>
          <t>8118243:eng</t>
        </is>
      </c>
      <c r="AV803" t="inlineStr">
        <is>
          <t>3167623</t>
        </is>
      </c>
      <c r="AW803" t="inlineStr">
        <is>
          <t>991004361419702656</t>
        </is>
      </c>
      <c r="AX803" t="inlineStr">
        <is>
          <t>991004361419702656</t>
        </is>
      </c>
      <c r="AY803" t="inlineStr">
        <is>
          <t>2262173950002656</t>
        </is>
      </c>
      <c r="AZ803" t="inlineStr">
        <is>
          <t>BOOK</t>
        </is>
      </c>
      <c r="BB803" t="inlineStr">
        <is>
          <t>9780023500305</t>
        </is>
      </c>
      <c r="BC803" t="inlineStr">
        <is>
          <t>32285000214865</t>
        </is>
      </c>
      <c r="BD803" t="inlineStr">
        <is>
          <t>893500462</t>
        </is>
      </c>
    </row>
    <row r="804">
      <c r="A804" t="inlineStr">
        <is>
          <t>No</t>
        </is>
      </c>
      <c r="B804" t="inlineStr">
        <is>
          <t>BF637.C6 H325</t>
        </is>
      </c>
      <c r="C804" t="inlineStr">
        <is>
          <t>0                      BF 0637000C  6                  H  325</t>
        </is>
      </c>
      <c r="D804" t="inlineStr">
        <is>
          <t>Group counseling : theory &amp; process / James C. Hansen, Richard W. Warner, Elsie M. [i.e. J.] Smith.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Hansen, James C.</t>
        </is>
      </c>
      <c r="L804" t="inlineStr">
        <is>
          <t>Chicago : Rand McNally College Pub. Co., c1976.</t>
        </is>
      </c>
      <c r="M804" t="inlineStr">
        <is>
          <t>1976</t>
        </is>
      </c>
      <c r="O804" t="inlineStr">
        <is>
          <t>eng</t>
        </is>
      </c>
      <c r="P804" t="inlineStr">
        <is>
          <t>ilu</t>
        </is>
      </c>
      <c r="Q804" t="inlineStr">
        <is>
          <t>Rand McNally education series</t>
        </is>
      </c>
      <c r="R804" t="inlineStr">
        <is>
          <t xml:space="preserve">BF </t>
        </is>
      </c>
      <c r="S804" t="n">
        <v>2</v>
      </c>
      <c r="T804" t="n">
        <v>2</v>
      </c>
      <c r="U804" t="inlineStr">
        <is>
          <t>1993-04-25</t>
        </is>
      </c>
      <c r="V804" t="inlineStr">
        <is>
          <t>1993-04-25</t>
        </is>
      </c>
      <c r="W804" t="inlineStr">
        <is>
          <t>1992-02-19</t>
        </is>
      </c>
      <c r="X804" t="inlineStr">
        <is>
          <t>1992-02-19</t>
        </is>
      </c>
      <c r="Y804" t="n">
        <v>214</v>
      </c>
      <c r="Z804" t="n">
        <v>152</v>
      </c>
      <c r="AA804" t="n">
        <v>297</v>
      </c>
      <c r="AB804" t="n">
        <v>3</v>
      </c>
      <c r="AC804" t="n">
        <v>4</v>
      </c>
      <c r="AD804" t="n">
        <v>7</v>
      </c>
      <c r="AE804" t="n">
        <v>14</v>
      </c>
      <c r="AF804" t="n">
        <v>3</v>
      </c>
      <c r="AG804" t="n">
        <v>7</v>
      </c>
      <c r="AH804" t="n">
        <v>1</v>
      </c>
      <c r="AI804" t="n">
        <v>1</v>
      </c>
      <c r="AJ804" t="n">
        <v>4</v>
      </c>
      <c r="AK804" t="n">
        <v>9</v>
      </c>
      <c r="AL804" t="n">
        <v>2</v>
      </c>
      <c r="AM804" t="n">
        <v>3</v>
      </c>
      <c r="AN804" t="n">
        <v>0</v>
      </c>
      <c r="AO804" t="n">
        <v>0</v>
      </c>
      <c r="AP804" t="inlineStr">
        <is>
          <t>No</t>
        </is>
      </c>
      <c r="AQ804" t="inlineStr">
        <is>
          <t>Yes</t>
        </is>
      </c>
      <c r="AR804">
        <f>HYPERLINK("http://catalog.hathitrust.org/Record/000019336","HathiTrust Record")</f>
        <v/>
      </c>
      <c r="AS804">
        <f>HYPERLINK("https://creighton-primo.hosted.exlibrisgroup.com/primo-explore/search?tab=default_tab&amp;search_scope=EVERYTHING&amp;vid=01CRU&amp;lang=en_US&amp;offset=0&amp;query=any,contains,991004109119702656","Catalog Record")</f>
        <v/>
      </c>
      <c r="AT804">
        <f>HYPERLINK("http://www.worldcat.org/oclc/2390642","WorldCat Record")</f>
        <v/>
      </c>
      <c r="AU804" t="inlineStr">
        <is>
          <t>3372820470:eng</t>
        </is>
      </c>
      <c r="AV804" t="inlineStr">
        <is>
          <t>2390642</t>
        </is>
      </c>
      <c r="AW804" t="inlineStr">
        <is>
          <t>991004109119702656</t>
        </is>
      </c>
      <c r="AX804" t="inlineStr">
        <is>
          <t>991004109119702656</t>
        </is>
      </c>
      <c r="AY804" t="inlineStr">
        <is>
          <t>2269067250002656</t>
        </is>
      </c>
      <c r="AZ804" t="inlineStr">
        <is>
          <t>BOOK</t>
        </is>
      </c>
      <c r="BC804" t="inlineStr">
        <is>
          <t>32285000947753</t>
        </is>
      </c>
      <c r="BD804" t="inlineStr">
        <is>
          <t>893253244</t>
        </is>
      </c>
    </row>
    <row r="805">
      <c r="A805" t="inlineStr">
        <is>
          <t>No</t>
        </is>
      </c>
      <c r="B805" t="inlineStr">
        <is>
          <t>BF637.C6 H36</t>
        </is>
      </c>
      <c r="C805" t="inlineStr">
        <is>
          <t>0                      BF 0637000C  6                  H  36</t>
        </is>
      </c>
      <c r="D805" t="inlineStr">
        <is>
          <t>Innovations in counseling psychology / Chris Hatcher, Bonnie S. Brooks, and associates.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Hatcher, Chris, 1946-</t>
        </is>
      </c>
      <c r="L805" t="inlineStr">
        <is>
          <t>San Francisco : Jossey-Bass Publishers, 1977.</t>
        </is>
      </c>
      <c r="M805" t="inlineStr">
        <is>
          <t>1977</t>
        </is>
      </c>
      <c r="N805" t="inlineStr">
        <is>
          <t>1st ed.</t>
        </is>
      </c>
      <c r="O805" t="inlineStr">
        <is>
          <t>eng</t>
        </is>
      </c>
      <c r="P805" t="inlineStr">
        <is>
          <t>cau</t>
        </is>
      </c>
      <c r="Q805" t="inlineStr">
        <is>
          <t>The Jossey-Bass social and behavioral science series</t>
        </is>
      </c>
      <c r="R805" t="inlineStr">
        <is>
          <t xml:space="preserve">BF </t>
        </is>
      </c>
      <c r="S805" t="n">
        <v>2</v>
      </c>
      <c r="T805" t="n">
        <v>2</v>
      </c>
      <c r="U805" t="inlineStr">
        <is>
          <t>1993-03-05</t>
        </is>
      </c>
      <c r="V805" t="inlineStr">
        <is>
          <t>1993-03-05</t>
        </is>
      </c>
      <c r="W805" t="inlineStr">
        <is>
          <t>1990-07-06</t>
        </is>
      </c>
      <c r="X805" t="inlineStr">
        <is>
          <t>1990-07-06</t>
        </is>
      </c>
      <c r="Y805" t="n">
        <v>455</v>
      </c>
      <c r="Z805" t="n">
        <v>378</v>
      </c>
      <c r="AA805" t="n">
        <v>385</v>
      </c>
      <c r="AB805" t="n">
        <v>3</v>
      </c>
      <c r="AC805" t="n">
        <v>3</v>
      </c>
      <c r="AD805" t="n">
        <v>15</v>
      </c>
      <c r="AE805" t="n">
        <v>15</v>
      </c>
      <c r="AF805" t="n">
        <v>5</v>
      </c>
      <c r="AG805" t="n">
        <v>5</v>
      </c>
      <c r="AH805" t="n">
        <v>3</v>
      </c>
      <c r="AI805" t="n">
        <v>3</v>
      </c>
      <c r="AJ805" t="n">
        <v>11</v>
      </c>
      <c r="AK805" t="n">
        <v>11</v>
      </c>
      <c r="AL805" t="n">
        <v>2</v>
      </c>
      <c r="AM805" t="n">
        <v>2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HYPERLINK("http://catalog.hathitrust.org/Record/004445617","HathiTrust Record")</f>
        <v/>
      </c>
      <c r="AS805">
        <f>HYPERLINK("https://creighton-primo.hosted.exlibrisgroup.com/primo-explore/search?tab=default_tab&amp;search_scope=EVERYTHING&amp;vid=01CRU&amp;lang=en_US&amp;offset=0&amp;query=any,contains,991004469009702656","Catalog Record")</f>
        <v/>
      </c>
      <c r="AT805">
        <f>HYPERLINK("http://www.worldcat.org/oclc/3587088","WorldCat Record")</f>
        <v/>
      </c>
      <c r="AU805" t="inlineStr">
        <is>
          <t>532604:eng</t>
        </is>
      </c>
      <c r="AV805" t="inlineStr">
        <is>
          <t>3587088</t>
        </is>
      </c>
      <c r="AW805" t="inlineStr">
        <is>
          <t>991004469009702656</t>
        </is>
      </c>
      <c r="AX805" t="inlineStr">
        <is>
          <t>991004469009702656</t>
        </is>
      </c>
      <c r="AY805" t="inlineStr">
        <is>
          <t>2266104910002656</t>
        </is>
      </c>
      <c r="AZ805" t="inlineStr">
        <is>
          <t>BOOK</t>
        </is>
      </c>
      <c r="BB805" t="inlineStr">
        <is>
          <t>9780875893525</t>
        </is>
      </c>
      <c r="BC805" t="inlineStr">
        <is>
          <t>32285000204189</t>
        </is>
      </c>
      <c r="BD805" t="inlineStr">
        <is>
          <t>893700278</t>
        </is>
      </c>
    </row>
    <row r="806">
      <c r="A806" t="inlineStr">
        <is>
          <t>No</t>
        </is>
      </c>
      <c r="B806" t="inlineStr">
        <is>
          <t>BF637.C6 H365 1989</t>
        </is>
      </c>
      <c r="C806" t="inlineStr">
        <is>
          <t>0                      BF 0637000C  6                  H  365         1989</t>
        </is>
      </c>
      <c r="D806" t="inlineStr">
        <is>
          <t>Supervision in the helping professions : an individual, group and organizational approach / Peter Hawkins and Robin Shohet.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Hawkins, Peter, 1950-</t>
        </is>
      </c>
      <c r="L806" t="inlineStr">
        <is>
          <t>Milton Keynes [England] ; Philadelphia : Open University Press, 1989.</t>
        </is>
      </c>
      <c r="M806" t="inlineStr">
        <is>
          <t>1989</t>
        </is>
      </c>
      <c r="O806" t="inlineStr">
        <is>
          <t>eng</t>
        </is>
      </c>
      <c r="P806" t="inlineStr">
        <is>
          <t>enk</t>
        </is>
      </c>
      <c r="R806" t="inlineStr">
        <is>
          <t xml:space="preserve">BF </t>
        </is>
      </c>
      <c r="S806" t="n">
        <v>2</v>
      </c>
      <c r="T806" t="n">
        <v>2</v>
      </c>
      <c r="U806" t="inlineStr">
        <is>
          <t>2008-11-14</t>
        </is>
      </c>
      <c r="V806" t="inlineStr">
        <is>
          <t>2008-11-14</t>
        </is>
      </c>
      <c r="W806" t="inlineStr">
        <is>
          <t>1990-05-02</t>
        </is>
      </c>
      <c r="X806" t="inlineStr">
        <is>
          <t>1990-05-02</t>
        </is>
      </c>
      <c r="Y806" t="n">
        <v>266</v>
      </c>
      <c r="Z806" t="n">
        <v>112</v>
      </c>
      <c r="AA806" t="n">
        <v>506</v>
      </c>
      <c r="AB806" t="n">
        <v>1</v>
      </c>
      <c r="AC806" t="n">
        <v>7</v>
      </c>
      <c r="AD806" t="n">
        <v>1</v>
      </c>
      <c r="AE806" t="n">
        <v>14</v>
      </c>
      <c r="AF806" t="n">
        <v>1</v>
      </c>
      <c r="AG806" t="n">
        <v>1</v>
      </c>
      <c r="AH806" t="n">
        <v>0</v>
      </c>
      <c r="AI806" t="n">
        <v>1</v>
      </c>
      <c r="AJ806" t="n">
        <v>1</v>
      </c>
      <c r="AK806" t="n">
        <v>8</v>
      </c>
      <c r="AL806" t="n">
        <v>0</v>
      </c>
      <c r="AM806" t="n">
        <v>6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HYPERLINK("http://catalog.hathitrust.org/Record/001945199","HathiTrust Record")</f>
        <v/>
      </c>
      <c r="AS806">
        <f>HYPERLINK("https://creighton-primo.hosted.exlibrisgroup.com/primo-explore/search?tab=default_tab&amp;search_scope=EVERYTHING&amp;vid=01CRU&amp;lang=en_US&amp;offset=0&amp;query=any,contains,991001477369702656","Catalog Record")</f>
        <v/>
      </c>
      <c r="AT806">
        <f>HYPERLINK("http://www.worldcat.org/oclc/19589296","WorldCat Record")</f>
        <v/>
      </c>
      <c r="AU806" t="inlineStr">
        <is>
          <t>2279752360:eng</t>
        </is>
      </c>
      <c r="AV806" t="inlineStr">
        <is>
          <t>19589296</t>
        </is>
      </c>
      <c r="AW806" t="inlineStr">
        <is>
          <t>991001477369702656</t>
        </is>
      </c>
      <c r="AX806" t="inlineStr">
        <is>
          <t>991001477369702656</t>
        </is>
      </c>
      <c r="AY806" t="inlineStr">
        <is>
          <t>2263974520002656</t>
        </is>
      </c>
      <c r="AZ806" t="inlineStr">
        <is>
          <t>BOOK</t>
        </is>
      </c>
      <c r="BB806" t="inlineStr">
        <is>
          <t>9780335098330</t>
        </is>
      </c>
      <c r="BC806" t="inlineStr">
        <is>
          <t>32285000117613</t>
        </is>
      </c>
      <c r="BD806" t="inlineStr">
        <is>
          <t>893690653</t>
        </is>
      </c>
    </row>
    <row r="807">
      <c r="A807" t="inlineStr">
        <is>
          <t>No</t>
        </is>
      </c>
      <c r="B807" t="inlineStr">
        <is>
          <t>BF637.C6 H37</t>
        </is>
      </c>
      <c r="C807" t="inlineStr">
        <is>
          <t>0                      BF 0637000C  6                  H  37</t>
        </is>
      </c>
      <c r="D807" t="inlineStr">
        <is>
          <t>Communication in the counseling relationship / Bonnie Jay Headington.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Headington, Bonnie Jay.</t>
        </is>
      </c>
      <c r="L807" t="inlineStr">
        <is>
          <t>Cranston, R.I. : Carroll Press, [1978]</t>
        </is>
      </c>
      <c r="M807" t="inlineStr">
        <is>
          <t>1978</t>
        </is>
      </c>
      <c r="O807" t="inlineStr">
        <is>
          <t>eng</t>
        </is>
      </c>
      <c r="P807" t="inlineStr">
        <is>
          <t>riu</t>
        </is>
      </c>
      <c r="R807" t="inlineStr">
        <is>
          <t xml:space="preserve">BF </t>
        </is>
      </c>
      <c r="S807" t="n">
        <v>3</v>
      </c>
      <c r="T807" t="n">
        <v>3</v>
      </c>
      <c r="U807" t="inlineStr">
        <is>
          <t>1997-07-17</t>
        </is>
      </c>
      <c r="V807" t="inlineStr">
        <is>
          <t>1997-07-17</t>
        </is>
      </c>
      <c r="W807" t="inlineStr">
        <is>
          <t>1992-11-01</t>
        </is>
      </c>
      <c r="X807" t="inlineStr">
        <is>
          <t>1992-11-01</t>
        </is>
      </c>
      <c r="Y807" t="n">
        <v>192</v>
      </c>
      <c r="Z807" t="n">
        <v>169</v>
      </c>
      <c r="AA807" t="n">
        <v>170</v>
      </c>
      <c r="AB807" t="n">
        <v>2</v>
      </c>
      <c r="AC807" t="n">
        <v>2</v>
      </c>
      <c r="AD807" t="n">
        <v>7</v>
      </c>
      <c r="AE807" t="n">
        <v>7</v>
      </c>
      <c r="AF807" t="n">
        <v>3</v>
      </c>
      <c r="AG807" t="n">
        <v>3</v>
      </c>
      <c r="AH807" t="n">
        <v>0</v>
      </c>
      <c r="AI807" t="n">
        <v>0</v>
      </c>
      <c r="AJ807" t="n">
        <v>5</v>
      </c>
      <c r="AK807" t="n">
        <v>5</v>
      </c>
      <c r="AL807" t="n">
        <v>1</v>
      </c>
      <c r="AM807" t="n">
        <v>1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HYPERLINK("https://creighton-primo.hosted.exlibrisgroup.com/primo-explore/search?tab=default_tab&amp;search_scope=EVERYTHING&amp;vid=01CRU&amp;lang=en_US&amp;offset=0&amp;query=any,contains,991004539929702656","Catalog Record")</f>
        <v/>
      </c>
      <c r="AT807">
        <f>HYPERLINK("http://www.worldcat.org/oclc/3892668","WorldCat Record")</f>
        <v/>
      </c>
      <c r="AU807" t="inlineStr">
        <is>
          <t>556368:eng</t>
        </is>
      </c>
      <c r="AV807" t="inlineStr">
        <is>
          <t>3892668</t>
        </is>
      </c>
      <c r="AW807" t="inlineStr">
        <is>
          <t>991004539929702656</t>
        </is>
      </c>
      <c r="AX807" t="inlineStr">
        <is>
          <t>991004539929702656</t>
        </is>
      </c>
      <c r="AY807" t="inlineStr">
        <is>
          <t>2272318480002656</t>
        </is>
      </c>
      <c r="AZ807" t="inlineStr">
        <is>
          <t>BOOK</t>
        </is>
      </c>
      <c r="BC807" t="inlineStr">
        <is>
          <t>32285001380442</t>
        </is>
      </c>
      <c r="BD807" t="inlineStr">
        <is>
          <t>893253807</t>
        </is>
      </c>
    </row>
    <row r="808">
      <c r="A808" t="inlineStr">
        <is>
          <t>No</t>
        </is>
      </c>
      <c r="B808" t="inlineStr">
        <is>
          <t>BF637.C6 J37 1984</t>
        </is>
      </c>
      <c r="C808" t="inlineStr">
        <is>
          <t>0                      BF 0637000C  6                  J  37          1984</t>
        </is>
      </c>
      <c r="D808" t="inlineStr">
        <is>
          <t>Crisis counseling : a contemporary approach / Ellen H. Janosik.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Janosik, Ellen Hastings.</t>
        </is>
      </c>
      <c r="L808" t="inlineStr">
        <is>
          <t>Monterey, Calif. : Wadsworth Health Sciences Division, c1984.</t>
        </is>
      </c>
      <c r="M808" t="inlineStr">
        <is>
          <t>1984</t>
        </is>
      </c>
      <c r="O808" t="inlineStr">
        <is>
          <t>eng</t>
        </is>
      </c>
      <c r="P808" t="inlineStr">
        <is>
          <t>cau</t>
        </is>
      </c>
      <c r="R808" t="inlineStr">
        <is>
          <t xml:space="preserve">BF </t>
        </is>
      </c>
      <c r="S808" t="n">
        <v>6</v>
      </c>
      <c r="T808" t="n">
        <v>6</v>
      </c>
      <c r="U808" t="inlineStr">
        <is>
          <t>1996-04-02</t>
        </is>
      </c>
      <c r="V808" t="inlineStr">
        <is>
          <t>1996-04-02</t>
        </is>
      </c>
      <c r="W808" t="inlineStr">
        <is>
          <t>1991-10-23</t>
        </is>
      </c>
      <c r="X808" t="inlineStr">
        <is>
          <t>1991-10-23</t>
        </is>
      </c>
      <c r="Y808" t="n">
        <v>268</v>
      </c>
      <c r="Z808" t="n">
        <v>232</v>
      </c>
      <c r="AA808" t="n">
        <v>755</v>
      </c>
      <c r="AB808" t="n">
        <v>2</v>
      </c>
      <c r="AC808" t="n">
        <v>3</v>
      </c>
      <c r="AD808" t="n">
        <v>9</v>
      </c>
      <c r="AE808" t="n">
        <v>19</v>
      </c>
      <c r="AF808" t="n">
        <v>3</v>
      </c>
      <c r="AG808" t="n">
        <v>11</v>
      </c>
      <c r="AH808" t="n">
        <v>1</v>
      </c>
      <c r="AI808" t="n">
        <v>2</v>
      </c>
      <c r="AJ808" t="n">
        <v>6</v>
      </c>
      <c r="AK808" t="n">
        <v>9</v>
      </c>
      <c r="AL808" t="n">
        <v>1</v>
      </c>
      <c r="AM808" t="n">
        <v>2</v>
      </c>
      <c r="AN808" t="n">
        <v>0</v>
      </c>
      <c r="AO808" t="n">
        <v>0</v>
      </c>
      <c r="AP808" t="inlineStr">
        <is>
          <t>No</t>
        </is>
      </c>
      <c r="AQ808" t="inlineStr">
        <is>
          <t>Yes</t>
        </is>
      </c>
      <c r="AR808">
        <f>HYPERLINK("http://catalog.hathitrust.org/Record/000240745","HathiTrust Record")</f>
        <v/>
      </c>
      <c r="AS808">
        <f>HYPERLINK("https://creighton-primo.hosted.exlibrisgroup.com/primo-explore/search?tab=default_tab&amp;search_scope=EVERYTHING&amp;vid=01CRU&amp;lang=en_US&amp;offset=0&amp;query=any,contains,991000281609702656","Catalog Record")</f>
        <v/>
      </c>
      <c r="AT808">
        <f>HYPERLINK("http://www.worldcat.org/oclc/9919102","WorldCat Record")</f>
        <v/>
      </c>
      <c r="AU808" t="inlineStr">
        <is>
          <t>7686309:eng</t>
        </is>
      </c>
      <c r="AV808" t="inlineStr">
        <is>
          <t>9919102</t>
        </is>
      </c>
      <c r="AW808" t="inlineStr">
        <is>
          <t>991000281609702656</t>
        </is>
      </c>
      <c r="AX808" t="inlineStr">
        <is>
          <t>991000281609702656</t>
        </is>
      </c>
      <c r="AY808" t="inlineStr">
        <is>
          <t>2268245730002656</t>
        </is>
      </c>
      <c r="AZ808" t="inlineStr">
        <is>
          <t>BOOK</t>
        </is>
      </c>
      <c r="BB808" t="inlineStr">
        <is>
          <t>9780534028053</t>
        </is>
      </c>
      <c r="BC808" t="inlineStr">
        <is>
          <t>32285000779644</t>
        </is>
      </c>
      <c r="BD808" t="inlineStr">
        <is>
          <t>893231005</t>
        </is>
      </c>
    </row>
    <row r="809">
      <c r="A809" t="inlineStr">
        <is>
          <t>No</t>
        </is>
      </c>
      <c r="B809" t="inlineStr">
        <is>
          <t>BF637.C6 K39</t>
        </is>
      </c>
      <c r="C809" t="inlineStr">
        <is>
          <t>0                      BF 0637000C  6                  K  39</t>
        </is>
      </c>
      <c r="D809" t="inlineStr">
        <is>
          <t>Fundamentals of child counseling / [by] Donald B. Keat.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Keat, Donald B.</t>
        </is>
      </c>
      <c r="L809" t="inlineStr">
        <is>
          <t>Boston : Houghton Mifflin, [1974]</t>
        </is>
      </c>
      <c r="M809" t="inlineStr">
        <is>
          <t>1974</t>
        </is>
      </c>
      <c r="O809" t="inlineStr">
        <is>
          <t>eng</t>
        </is>
      </c>
      <c r="P809" t="inlineStr">
        <is>
          <t>mau</t>
        </is>
      </c>
      <c r="R809" t="inlineStr">
        <is>
          <t xml:space="preserve">BF </t>
        </is>
      </c>
      <c r="S809" t="n">
        <v>3</v>
      </c>
      <c r="T809" t="n">
        <v>3</v>
      </c>
      <c r="U809" t="inlineStr">
        <is>
          <t>2002-06-26</t>
        </is>
      </c>
      <c r="V809" t="inlineStr">
        <is>
          <t>2002-06-26</t>
        </is>
      </c>
      <c r="W809" t="inlineStr">
        <is>
          <t>1991-01-10</t>
        </is>
      </c>
      <c r="X809" t="inlineStr">
        <is>
          <t>1991-01-10</t>
        </is>
      </c>
      <c r="Y809" t="n">
        <v>352</v>
      </c>
      <c r="Z809" t="n">
        <v>272</v>
      </c>
      <c r="AA809" t="n">
        <v>279</v>
      </c>
      <c r="AB809" t="n">
        <v>2</v>
      </c>
      <c r="AC809" t="n">
        <v>2</v>
      </c>
      <c r="AD809" t="n">
        <v>15</v>
      </c>
      <c r="AE809" t="n">
        <v>15</v>
      </c>
      <c r="AF809" t="n">
        <v>6</v>
      </c>
      <c r="AG809" t="n">
        <v>6</v>
      </c>
      <c r="AH809" t="n">
        <v>4</v>
      </c>
      <c r="AI809" t="n">
        <v>4</v>
      </c>
      <c r="AJ809" t="n">
        <v>7</v>
      </c>
      <c r="AK809" t="n">
        <v>7</v>
      </c>
      <c r="AL809" t="n">
        <v>1</v>
      </c>
      <c r="AM809" t="n">
        <v>1</v>
      </c>
      <c r="AN809" t="n">
        <v>0</v>
      </c>
      <c r="AO809" t="n">
        <v>0</v>
      </c>
      <c r="AP809" t="inlineStr">
        <is>
          <t>No</t>
        </is>
      </c>
      <c r="AQ809" t="inlineStr">
        <is>
          <t>Yes</t>
        </is>
      </c>
      <c r="AR809">
        <f>HYPERLINK("http://catalog.hathitrust.org/Record/000386855","HathiTrust Record")</f>
        <v/>
      </c>
      <c r="AS809">
        <f>HYPERLINK("https://creighton-primo.hosted.exlibrisgroup.com/primo-explore/search?tab=default_tab&amp;search_scope=EVERYTHING&amp;vid=01CRU&amp;lang=en_US&amp;offset=0&amp;query=any,contains,991003377949702656","Catalog Record")</f>
        <v/>
      </c>
      <c r="AT809">
        <f>HYPERLINK("http://www.worldcat.org/oclc/914558","WorldCat Record")</f>
        <v/>
      </c>
      <c r="AU809" t="inlineStr">
        <is>
          <t>1854832:eng</t>
        </is>
      </c>
      <c r="AV809" t="inlineStr">
        <is>
          <t>914558</t>
        </is>
      </c>
      <c r="AW809" t="inlineStr">
        <is>
          <t>991003377949702656</t>
        </is>
      </c>
      <c r="AX809" t="inlineStr">
        <is>
          <t>991003377949702656</t>
        </is>
      </c>
      <c r="AY809" t="inlineStr">
        <is>
          <t>2262717900002656</t>
        </is>
      </c>
      <c r="AZ809" t="inlineStr">
        <is>
          <t>BOOK</t>
        </is>
      </c>
      <c r="BB809" t="inlineStr">
        <is>
          <t>9780395178270</t>
        </is>
      </c>
      <c r="BC809" t="inlineStr">
        <is>
          <t>32285000430552</t>
        </is>
      </c>
      <c r="BD809" t="inlineStr">
        <is>
          <t>893330255</t>
        </is>
      </c>
    </row>
    <row r="810">
      <c r="A810" t="inlineStr">
        <is>
          <t>No</t>
        </is>
      </c>
      <c r="B810" t="inlineStr">
        <is>
          <t>BF637.C6 K45</t>
        </is>
      </c>
      <c r="C810" t="inlineStr">
        <is>
          <t>0                      BF 0637000C  6                  K  45</t>
        </is>
      </c>
      <c r="D810" t="inlineStr">
        <is>
          <t>Intangibles in counseling / [by] C. Gratton Kemp.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Kemp, Clarence Gratton, 1905-</t>
        </is>
      </c>
      <c r="L810" t="inlineStr">
        <is>
          <t>Boston : Houghton Mifflin, [1967]</t>
        </is>
      </c>
      <c r="M810" t="inlineStr">
        <is>
          <t>1967</t>
        </is>
      </c>
      <c r="O810" t="inlineStr">
        <is>
          <t>eng</t>
        </is>
      </c>
      <c r="P810" t="inlineStr">
        <is>
          <t>mau</t>
        </is>
      </c>
      <c r="R810" t="inlineStr">
        <is>
          <t xml:space="preserve">BF </t>
        </is>
      </c>
      <c r="S810" t="n">
        <v>4</v>
      </c>
      <c r="T810" t="n">
        <v>4</v>
      </c>
      <c r="U810" t="inlineStr">
        <is>
          <t>1996-11-13</t>
        </is>
      </c>
      <c r="V810" t="inlineStr">
        <is>
          <t>1996-11-13</t>
        </is>
      </c>
      <c r="W810" t="inlineStr">
        <is>
          <t>1992-04-23</t>
        </is>
      </c>
      <c r="X810" t="inlineStr">
        <is>
          <t>1992-04-23</t>
        </is>
      </c>
      <c r="Y810" t="n">
        <v>407</v>
      </c>
      <c r="Z810" t="n">
        <v>377</v>
      </c>
      <c r="AA810" t="n">
        <v>380</v>
      </c>
      <c r="AB810" t="n">
        <v>3</v>
      </c>
      <c r="AC810" t="n">
        <v>3</v>
      </c>
      <c r="AD810" t="n">
        <v>17</v>
      </c>
      <c r="AE810" t="n">
        <v>17</v>
      </c>
      <c r="AF810" t="n">
        <v>7</v>
      </c>
      <c r="AG810" t="n">
        <v>7</v>
      </c>
      <c r="AH810" t="n">
        <v>5</v>
      </c>
      <c r="AI810" t="n">
        <v>5</v>
      </c>
      <c r="AJ810" t="n">
        <v>7</v>
      </c>
      <c r="AK810" t="n">
        <v>7</v>
      </c>
      <c r="AL810" t="n">
        <v>2</v>
      </c>
      <c r="AM810" t="n">
        <v>2</v>
      </c>
      <c r="AN810" t="n">
        <v>0</v>
      </c>
      <c r="AO810" t="n">
        <v>0</v>
      </c>
      <c r="AP810" t="inlineStr">
        <is>
          <t>No</t>
        </is>
      </c>
      <c r="AQ810" t="inlineStr">
        <is>
          <t>Yes</t>
        </is>
      </c>
      <c r="AR810">
        <f>HYPERLINK("http://catalog.hathitrust.org/Record/001116656","HathiTrust Record")</f>
        <v/>
      </c>
      <c r="AS810">
        <f>HYPERLINK("https://creighton-primo.hosted.exlibrisgroup.com/primo-explore/search?tab=default_tab&amp;search_scope=EVERYTHING&amp;vid=01CRU&amp;lang=en_US&amp;offset=0&amp;query=any,contains,991001216199702656","Catalog Record")</f>
        <v/>
      </c>
      <c r="AT810">
        <f>HYPERLINK("http://www.worldcat.org/oclc/194190","WorldCat Record")</f>
        <v/>
      </c>
      <c r="AU810" t="inlineStr">
        <is>
          <t>1358919:eng</t>
        </is>
      </c>
      <c r="AV810" t="inlineStr">
        <is>
          <t>194190</t>
        </is>
      </c>
      <c r="AW810" t="inlineStr">
        <is>
          <t>991001216199702656</t>
        </is>
      </c>
      <c r="AX810" t="inlineStr">
        <is>
          <t>991001216199702656</t>
        </is>
      </c>
      <c r="AY810" t="inlineStr">
        <is>
          <t>2269320750002656</t>
        </is>
      </c>
      <c r="AZ810" t="inlineStr">
        <is>
          <t>BOOK</t>
        </is>
      </c>
      <c r="BC810" t="inlineStr">
        <is>
          <t>32285001085934</t>
        </is>
      </c>
      <c r="BD810" t="inlineStr">
        <is>
          <t>893596292</t>
        </is>
      </c>
    </row>
    <row r="811">
      <c r="A811" t="inlineStr">
        <is>
          <t>No</t>
        </is>
      </c>
      <c r="B811" t="inlineStr">
        <is>
          <t>BF637.C6 K68 1994</t>
        </is>
      </c>
      <c r="C811" t="inlineStr">
        <is>
          <t>0                      BF 0637000C  6                  K  68          1994</t>
        </is>
      </c>
      <c r="D811" t="inlineStr">
        <is>
          <t>Advanced group leadership / Jeffrey A. Kottler.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K811" t="inlineStr">
        <is>
          <t>Kottler, Jeffrey A.</t>
        </is>
      </c>
      <c r="L811" t="inlineStr">
        <is>
          <t>Pacific Grove, CA : Brooks/Cole, c1994.</t>
        </is>
      </c>
      <c r="M811" t="inlineStr">
        <is>
          <t>1994</t>
        </is>
      </c>
      <c r="O811" t="inlineStr">
        <is>
          <t>eng</t>
        </is>
      </c>
      <c r="P811" t="inlineStr">
        <is>
          <t>cau</t>
        </is>
      </c>
      <c r="R811" t="inlineStr">
        <is>
          <t xml:space="preserve">BF </t>
        </is>
      </c>
      <c r="S811" t="n">
        <v>1</v>
      </c>
      <c r="T811" t="n">
        <v>1</v>
      </c>
      <c r="U811" t="inlineStr">
        <is>
          <t>2006-02-07</t>
        </is>
      </c>
      <c r="V811" t="inlineStr">
        <is>
          <t>2006-02-07</t>
        </is>
      </c>
      <c r="W811" t="inlineStr">
        <is>
          <t>2001-01-24</t>
        </is>
      </c>
      <c r="X811" t="inlineStr">
        <is>
          <t>2001-01-24</t>
        </is>
      </c>
      <c r="Y811" t="n">
        <v>260</v>
      </c>
      <c r="Z811" t="n">
        <v>197</v>
      </c>
      <c r="AA811" t="n">
        <v>198</v>
      </c>
      <c r="AB811" t="n">
        <v>2</v>
      </c>
      <c r="AC811" t="n">
        <v>2</v>
      </c>
      <c r="AD811" t="n">
        <v>10</v>
      </c>
      <c r="AE811" t="n">
        <v>10</v>
      </c>
      <c r="AF811" t="n">
        <v>3</v>
      </c>
      <c r="AG811" t="n">
        <v>3</v>
      </c>
      <c r="AH811" t="n">
        <v>4</v>
      </c>
      <c r="AI811" t="n">
        <v>4</v>
      </c>
      <c r="AJ811" t="n">
        <v>5</v>
      </c>
      <c r="AK811" t="n">
        <v>5</v>
      </c>
      <c r="AL811" t="n">
        <v>1</v>
      </c>
      <c r="AM811" t="n">
        <v>1</v>
      </c>
      <c r="AN811" t="n">
        <v>0</v>
      </c>
      <c r="AO811" t="n">
        <v>0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HYPERLINK("http://catalog.hathitrust.org/Record/007151034","HathiTrust Record")</f>
        <v/>
      </c>
      <c r="AS811">
        <f>HYPERLINK("https://creighton-primo.hosted.exlibrisgroup.com/primo-explore/search?tab=default_tab&amp;search_scope=EVERYTHING&amp;vid=01CRU&amp;lang=en_US&amp;offset=0&amp;query=any,contains,991003341519702656","Catalog Record")</f>
        <v/>
      </c>
      <c r="AT811">
        <f>HYPERLINK("http://www.worldcat.org/oclc/28063932","WorldCat Record")</f>
        <v/>
      </c>
      <c r="AU811" t="inlineStr">
        <is>
          <t>344067:eng</t>
        </is>
      </c>
      <c r="AV811" t="inlineStr">
        <is>
          <t>28063932</t>
        </is>
      </c>
      <c r="AW811" t="inlineStr">
        <is>
          <t>991003341519702656</t>
        </is>
      </c>
      <c r="AX811" t="inlineStr">
        <is>
          <t>991003341519702656</t>
        </is>
      </c>
      <c r="AY811" t="inlineStr">
        <is>
          <t>2255301350002656</t>
        </is>
      </c>
      <c r="AZ811" t="inlineStr">
        <is>
          <t>BOOK</t>
        </is>
      </c>
      <c r="BB811" t="inlineStr">
        <is>
          <t>9780534211509</t>
        </is>
      </c>
      <c r="BC811" t="inlineStr">
        <is>
          <t>32285004291539</t>
        </is>
      </c>
      <c r="BD811" t="inlineStr">
        <is>
          <t>893441191</t>
        </is>
      </c>
    </row>
    <row r="812">
      <c r="A812" t="inlineStr">
        <is>
          <t>No</t>
        </is>
      </c>
      <c r="B812" t="inlineStr">
        <is>
          <t>BF637.C6 M47</t>
        </is>
      </c>
      <c r="C812" t="inlineStr">
        <is>
          <t>0                      BF 0637000C  6                  M  47</t>
        </is>
      </c>
      <c r="D812" t="inlineStr">
        <is>
          <t>Counseling psychology : theories and case studies / [by] James B. Meyer [and] Joyce K. Meyer, with foreword and critiques by George M. Gazda.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Meyer, James B., 1942-</t>
        </is>
      </c>
      <c r="L812" t="inlineStr">
        <is>
          <t>Boston : Allyn and Bacon, [1974, c1975]</t>
        </is>
      </c>
      <c r="M812" t="inlineStr">
        <is>
          <t>1974</t>
        </is>
      </c>
      <c r="O812" t="inlineStr">
        <is>
          <t>eng</t>
        </is>
      </c>
      <c r="P812" t="inlineStr">
        <is>
          <t>mau</t>
        </is>
      </c>
      <c r="R812" t="inlineStr">
        <is>
          <t xml:space="preserve">BF </t>
        </is>
      </c>
      <c r="S812" t="n">
        <v>4</v>
      </c>
      <c r="T812" t="n">
        <v>4</v>
      </c>
      <c r="U812" t="inlineStr">
        <is>
          <t>2009-04-17</t>
        </is>
      </c>
      <c r="V812" t="inlineStr">
        <is>
          <t>2009-04-17</t>
        </is>
      </c>
      <c r="W812" t="inlineStr">
        <is>
          <t>1995-05-01</t>
        </is>
      </c>
      <c r="X812" t="inlineStr">
        <is>
          <t>1995-05-01</t>
        </is>
      </c>
      <c r="Y812" t="n">
        <v>174</v>
      </c>
      <c r="Z812" t="n">
        <v>150</v>
      </c>
      <c r="AA812" t="n">
        <v>155</v>
      </c>
      <c r="AB812" t="n">
        <v>3</v>
      </c>
      <c r="AC812" t="n">
        <v>3</v>
      </c>
      <c r="AD812" t="n">
        <v>7</v>
      </c>
      <c r="AE812" t="n">
        <v>7</v>
      </c>
      <c r="AF812" t="n">
        <v>2</v>
      </c>
      <c r="AG812" t="n">
        <v>2</v>
      </c>
      <c r="AH812" t="n">
        <v>2</v>
      </c>
      <c r="AI812" t="n">
        <v>2</v>
      </c>
      <c r="AJ812" t="n">
        <v>5</v>
      </c>
      <c r="AK812" t="n">
        <v>5</v>
      </c>
      <c r="AL812" t="n">
        <v>1</v>
      </c>
      <c r="AM812" t="n">
        <v>1</v>
      </c>
      <c r="AN812" t="n">
        <v>0</v>
      </c>
      <c r="AO812" t="n">
        <v>0</v>
      </c>
      <c r="AP812" t="inlineStr">
        <is>
          <t>No</t>
        </is>
      </c>
      <c r="AQ812" t="inlineStr">
        <is>
          <t>Yes</t>
        </is>
      </c>
      <c r="AR812">
        <f>HYPERLINK("http://catalog.hathitrust.org/Record/000022001","HathiTrust Record")</f>
        <v/>
      </c>
      <c r="AS812">
        <f>HYPERLINK("https://creighton-primo.hosted.exlibrisgroup.com/primo-explore/search?tab=default_tab&amp;search_scope=EVERYTHING&amp;vid=01CRU&amp;lang=en_US&amp;offset=0&amp;query=any,contains,991003501789702656","Catalog Record")</f>
        <v/>
      </c>
      <c r="AT812">
        <f>HYPERLINK("http://www.worldcat.org/oclc/1054202","WorldCat Record")</f>
        <v/>
      </c>
      <c r="AU812" t="inlineStr">
        <is>
          <t>1971913:eng</t>
        </is>
      </c>
      <c r="AV812" t="inlineStr">
        <is>
          <t>1054202</t>
        </is>
      </c>
      <c r="AW812" t="inlineStr">
        <is>
          <t>991003501789702656</t>
        </is>
      </c>
      <c r="AX812" t="inlineStr">
        <is>
          <t>991003501789702656</t>
        </is>
      </c>
      <c r="AY812" t="inlineStr">
        <is>
          <t>2269254510002656</t>
        </is>
      </c>
      <c r="AZ812" t="inlineStr">
        <is>
          <t>BOOK</t>
        </is>
      </c>
      <c r="BC812" t="inlineStr">
        <is>
          <t>32285002021201</t>
        </is>
      </c>
      <c r="BD812" t="inlineStr">
        <is>
          <t>893627614</t>
        </is>
      </c>
    </row>
    <row r="813">
      <c r="A813" t="inlineStr">
        <is>
          <t>No</t>
        </is>
      </c>
      <c r="B813" t="inlineStr">
        <is>
          <t>BF637.C6 N45 1984</t>
        </is>
      </c>
      <c r="C813" t="inlineStr">
        <is>
          <t>0                      BF 0637000C  6                  N  45          1984</t>
        </is>
      </c>
      <c r="D813" t="inlineStr">
        <is>
          <t>Personal responsibility counselling and therapy : an integrative approach / Richard Nelson-Jones.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Nelson-Jones, Richard.</t>
        </is>
      </c>
      <c r="L813" t="inlineStr">
        <is>
          <t>London ; New York : Harper &amp; Row, c1984.</t>
        </is>
      </c>
      <c r="M813" t="inlineStr">
        <is>
          <t>1984</t>
        </is>
      </c>
      <c r="O813" t="inlineStr">
        <is>
          <t>eng</t>
        </is>
      </c>
      <c r="P813" t="inlineStr">
        <is>
          <t>enk</t>
        </is>
      </c>
      <c r="R813" t="inlineStr">
        <is>
          <t xml:space="preserve">BF </t>
        </is>
      </c>
      <c r="S813" t="n">
        <v>3</v>
      </c>
      <c r="T813" t="n">
        <v>3</v>
      </c>
      <c r="U813" t="inlineStr">
        <is>
          <t>1998-04-16</t>
        </is>
      </c>
      <c r="V813" t="inlineStr">
        <is>
          <t>1998-04-16</t>
        </is>
      </c>
      <c r="W813" t="inlineStr">
        <is>
          <t>1990-03-20</t>
        </is>
      </c>
      <c r="X813" t="inlineStr">
        <is>
          <t>1990-03-20</t>
        </is>
      </c>
      <c r="Y813" t="n">
        <v>182</v>
      </c>
      <c r="Z813" t="n">
        <v>105</v>
      </c>
      <c r="AA813" t="n">
        <v>199</v>
      </c>
      <c r="AB813" t="n">
        <v>1</v>
      </c>
      <c r="AC813" t="n">
        <v>3</v>
      </c>
      <c r="AD813" t="n">
        <v>2</v>
      </c>
      <c r="AE813" t="n">
        <v>7</v>
      </c>
      <c r="AF813" t="n">
        <v>0</v>
      </c>
      <c r="AG813" t="n">
        <v>1</v>
      </c>
      <c r="AH813" t="n">
        <v>0</v>
      </c>
      <c r="AI813" t="n">
        <v>0</v>
      </c>
      <c r="AJ813" t="n">
        <v>2</v>
      </c>
      <c r="AK813" t="n">
        <v>4</v>
      </c>
      <c r="AL813" t="n">
        <v>0</v>
      </c>
      <c r="AM813" t="n">
        <v>2</v>
      </c>
      <c r="AN813" t="n">
        <v>0</v>
      </c>
      <c r="AO813" t="n">
        <v>0</v>
      </c>
      <c r="AP813" t="inlineStr">
        <is>
          <t>No</t>
        </is>
      </c>
      <c r="AQ813" t="inlineStr">
        <is>
          <t>Yes</t>
        </is>
      </c>
      <c r="AR813">
        <f>HYPERLINK("http://catalog.hathitrust.org/Record/009812906","HathiTrust Record")</f>
        <v/>
      </c>
      <c r="AS813">
        <f>HYPERLINK("https://creighton-primo.hosted.exlibrisgroup.com/primo-explore/search?tab=default_tab&amp;search_scope=EVERYTHING&amp;vid=01CRU&amp;lang=en_US&amp;offset=0&amp;query=any,contains,991000569749702656","Catalog Record")</f>
        <v/>
      </c>
      <c r="AT813">
        <f>HYPERLINK("http://www.worldcat.org/oclc/12970196","WorldCat Record")</f>
        <v/>
      </c>
      <c r="AU813" t="inlineStr">
        <is>
          <t>836690804:eng</t>
        </is>
      </c>
      <c r="AV813" t="inlineStr">
        <is>
          <t>12970196</t>
        </is>
      </c>
      <c r="AW813" t="inlineStr">
        <is>
          <t>991000569749702656</t>
        </is>
      </c>
      <c r="AX813" t="inlineStr">
        <is>
          <t>991000569749702656</t>
        </is>
      </c>
      <c r="AY813" t="inlineStr">
        <is>
          <t>2261620650002656</t>
        </is>
      </c>
      <c r="AZ813" t="inlineStr">
        <is>
          <t>BOOK</t>
        </is>
      </c>
      <c r="BB813" t="inlineStr">
        <is>
          <t>9780063182998</t>
        </is>
      </c>
      <c r="BC813" t="inlineStr">
        <is>
          <t>32285000086867</t>
        </is>
      </c>
      <c r="BD813" t="inlineStr">
        <is>
          <t>893897017</t>
        </is>
      </c>
    </row>
    <row r="814">
      <c r="A814" t="inlineStr">
        <is>
          <t>No</t>
        </is>
      </c>
      <c r="B814" t="inlineStr">
        <is>
          <t>BF637.C6 O48 1988</t>
        </is>
      </c>
      <c r="C814" t="inlineStr">
        <is>
          <t>0                      BF 0637000C  6                  O  48          1988</t>
        </is>
      </c>
      <c r="D814" t="inlineStr">
        <is>
          <t>Group counseling / Merle M. Ohlsen, Arthur M. Horne, Charles F. Lawe ; with a foreword by G.M. Gazda.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Ohlsen, Merle M.</t>
        </is>
      </c>
      <c r="L814" t="inlineStr">
        <is>
          <t>New York : Holt, Rinehart and Winston, c1988.</t>
        </is>
      </c>
      <c r="M814" t="inlineStr">
        <is>
          <t>1988</t>
        </is>
      </c>
      <c r="N814" t="inlineStr">
        <is>
          <t>3rd ed.</t>
        </is>
      </c>
      <c r="O814" t="inlineStr">
        <is>
          <t>eng</t>
        </is>
      </c>
      <c r="P814" t="inlineStr">
        <is>
          <t>nyu</t>
        </is>
      </c>
      <c r="R814" t="inlineStr">
        <is>
          <t xml:space="preserve">BF </t>
        </is>
      </c>
      <c r="S814" t="n">
        <v>11</v>
      </c>
      <c r="T814" t="n">
        <v>11</v>
      </c>
      <c r="U814" t="inlineStr">
        <is>
          <t>1996-06-25</t>
        </is>
      </c>
      <c r="V814" t="inlineStr">
        <is>
          <t>1996-06-25</t>
        </is>
      </c>
      <c r="W814" t="inlineStr">
        <is>
          <t>1990-05-18</t>
        </is>
      </c>
      <c r="X814" t="inlineStr">
        <is>
          <t>1990-05-18</t>
        </is>
      </c>
      <c r="Y814" t="n">
        <v>240</v>
      </c>
      <c r="Z814" t="n">
        <v>180</v>
      </c>
      <c r="AA814" t="n">
        <v>720</v>
      </c>
      <c r="AB814" t="n">
        <v>2</v>
      </c>
      <c r="AC814" t="n">
        <v>5</v>
      </c>
      <c r="AD814" t="n">
        <v>8</v>
      </c>
      <c r="AE814" t="n">
        <v>32</v>
      </c>
      <c r="AF814" t="n">
        <v>1</v>
      </c>
      <c r="AG814" t="n">
        <v>13</v>
      </c>
      <c r="AH814" t="n">
        <v>1</v>
      </c>
      <c r="AI814" t="n">
        <v>4</v>
      </c>
      <c r="AJ814" t="n">
        <v>6</v>
      </c>
      <c r="AK814" t="n">
        <v>19</v>
      </c>
      <c r="AL814" t="n">
        <v>1</v>
      </c>
      <c r="AM814" t="n">
        <v>4</v>
      </c>
      <c r="AN814" t="n">
        <v>0</v>
      </c>
      <c r="AO814" t="n">
        <v>0</v>
      </c>
      <c r="AP814" t="inlineStr">
        <is>
          <t>No</t>
        </is>
      </c>
      <c r="AQ814" t="inlineStr">
        <is>
          <t>Yes</t>
        </is>
      </c>
      <c r="AR814">
        <f>HYPERLINK("http://catalog.hathitrust.org/Record/000875388","HathiTrust Record")</f>
        <v/>
      </c>
      <c r="AS814">
        <f>HYPERLINK("https://creighton-primo.hosted.exlibrisgroup.com/primo-explore/search?tab=default_tab&amp;search_scope=EVERYTHING&amp;vid=01CRU&amp;lang=en_US&amp;offset=0&amp;query=any,contains,991001080069702656","Catalog Record")</f>
        <v/>
      </c>
      <c r="AT814">
        <f>HYPERLINK("http://www.worldcat.org/oclc/16085477","WorldCat Record")</f>
        <v/>
      </c>
      <c r="AU814" t="inlineStr">
        <is>
          <t>283423023:eng</t>
        </is>
      </c>
      <c r="AV814" t="inlineStr">
        <is>
          <t>16085477</t>
        </is>
      </c>
      <c r="AW814" t="inlineStr">
        <is>
          <t>991001080069702656</t>
        </is>
      </c>
      <c r="AX814" t="inlineStr">
        <is>
          <t>991001080069702656</t>
        </is>
      </c>
      <c r="AY814" t="inlineStr">
        <is>
          <t>2259347140002656</t>
        </is>
      </c>
      <c r="AZ814" t="inlineStr">
        <is>
          <t>BOOK</t>
        </is>
      </c>
      <c r="BB814" t="inlineStr">
        <is>
          <t>9780030084645</t>
        </is>
      </c>
      <c r="BC814" t="inlineStr">
        <is>
          <t>32285000153519</t>
        </is>
      </c>
      <c r="BD814" t="inlineStr">
        <is>
          <t>893891277</t>
        </is>
      </c>
    </row>
    <row r="815">
      <c r="A815" t="inlineStr">
        <is>
          <t>No</t>
        </is>
      </c>
      <c r="B815" t="inlineStr">
        <is>
          <t>BF637.C6 P28</t>
        </is>
      </c>
      <c r="C815" t="inlineStr">
        <is>
          <t>0                      BF 0637000C  6                  P  28</t>
        </is>
      </c>
      <c r="D815" t="inlineStr">
        <is>
          <t>Gestalt approaches in counseling / William R. Passons.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K815" t="inlineStr">
        <is>
          <t>Passons, William R.</t>
        </is>
      </c>
      <c r="L815" t="inlineStr">
        <is>
          <t>New York : Holt, Rinehart and Winston, [1975]</t>
        </is>
      </c>
      <c r="M815" t="inlineStr">
        <is>
          <t>1975</t>
        </is>
      </c>
      <c r="O815" t="inlineStr">
        <is>
          <t>eng</t>
        </is>
      </c>
      <c r="P815" t="inlineStr">
        <is>
          <t>nyu</t>
        </is>
      </c>
      <c r="R815" t="inlineStr">
        <is>
          <t xml:space="preserve">BF </t>
        </is>
      </c>
      <c r="S815" t="n">
        <v>3</v>
      </c>
      <c r="T815" t="n">
        <v>3</v>
      </c>
      <c r="U815" t="inlineStr">
        <is>
          <t>1997-12-05</t>
        </is>
      </c>
      <c r="V815" t="inlineStr">
        <is>
          <t>1997-12-05</t>
        </is>
      </c>
      <c r="W815" t="inlineStr">
        <is>
          <t>1992-01-03</t>
        </is>
      </c>
      <c r="X815" t="inlineStr">
        <is>
          <t>1992-01-03</t>
        </is>
      </c>
      <c r="Y815" t="n">
        <v>616</v>
      </c>
      <c r="Z815" t="n">
        <v>492</v>
      </c>
      <c r="AA815" t="n">
        <v>499</v>
      </c>
      <c r="AB815" t="n">
        <v>4</v>
      </c>
      <c r="AC815" t="n">
        <v>4</v>
      </c>
      <c r="AD815" t="n">
        <v>21</v>
      </c>
      <c r="AE815" t="n">
        <v>21</v>
      </c>
      <c r="AF815" t="n">
        <v>11</v>
      </c>
      <c r="AG815" t="n">
        <v>11</v>
      </c>
      <c r="AH815" t="n">
        <v>2</v>
      </c>
      <c r="AI815" t="n">
        <v>2</v>
      </c>
      <c r="AJ815" t="n">
        <v>8</v>
      </c>
      <c r="AK815" t="n">
        <v>8</v>
      </c>
      <c r="AL815" t="n">
        <v>3</v>
      </c>
      <c r="AM815" t="n">
        <v>3</v>
      </c>
      <c r="AN815" t="n">
        <v>0</v>
      </c>
      <c r="AO815" t="n">
        <v>0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HYPERLINK("http://catalog.hathitrust.org/Record/000023988","HathiTrust Record")</f>
        <v/>
      </c>
      <c r="AS815">
        <f>HYPERLINK("https://creighton-primo.hosted.exlibrisgroup.com/primo-explore/search?tab=default_tab&amp;search_scope=EVERYTHING&amp;vid=01CRU&amp;lang=en_US&amp;offset=0&amp;query=any,contains,991003505709702656","Catalog Record")</f>
        <v/>
      </c>
      <c r="AT815">
        <f>HYPERLINK("http://www.worldcat.org/oclc/1056993","WorldCat Record")</f>
        <v/>
      </c>
      <c r="AU815" t="inlineStr">
        <is>
          <t>401810:eng</t>
        </is>
      </c>
      <c r="AV815" t="inlineStr">
        <is>
          <t>1056993</t>
        </is>
      </c>
      <c r="AW815" t="inlineStr">
        <is>
          <t>991003505709702656</t>
        </is>
      </c>
      <c r="AX815" t="inlineStr">
        <is>
          <t>991003505709702656</t>
        </is>
      </c>
      <c r="AY815" t="inlineStr">
        <is>
          <t>2271931170002656</t>
        </is>
      </c>
      <c r="AZ815" t="inlineStr">
        <is>
          <t>BOOK</t>
        </is>
      </c>
      <c r="BB815" t="inlineStr">
        <is>
          <t>9780030894213</t>
        </is>
      </c>
      <c r="BC815" t="inlineStr">
        <is>
          <t>32285000882828</t>
        </is>
      </c>
      <c r="BD815" t="inlineStr">
        <is>
          <t>893887538</t>
        </is>
      </c>
    </row>
    <row r="816">
      <c r="A816" t="inlineStr">
        <is>
          <t>No</t>
        </is>
      </c>
      <c r="B816" t="inlineStr">
        <is>
          <t>BF637.C6 P325 1983</t>
        </is>
      </c>
      <c r="C816" t="inlineStr">
        <is>
          <t>0                      BF 0637000C  6                  P  325         1983</t>
        </is>
      </c>
      <c r="D816" t="inlineStr">
        <is>
          <t>The counseling process / Lewis E. Patterson, Sheldon Eisenberg.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Patterson, Lewis E.</t>
        </is>
      </c>
      <c r="L816" t="inlineStr">
        <is>
          <t>Boston : Houghton Mifflin Co., c1983.</t>
        </is>
      </c>
      <c r="M816" t="inlineStr">
        <is>
          <t>1983</t>
        </is>
      </c>
      <c r="N816" t="inlineStr">
        <is>
          <t>3rd ed.</t>
        </is>
      </c>
      <c r="O816" t="inlineStr">
        <is>
          <t>eng</t>
        </is>
      </c>
      <c r="P816" t="inlineStr">
        <is>
          <t>mau</t>
        </is>
      </c>
      <c r="R816" t="inlineStr">
        <is>
          <t xml:space="preserve">BF </t>
        </is>
      </c>
      <c r="S816" t="n">
        <v>10</v>
      </c>
      <c r="T816" t="n">
        <v>10</v>
      </c>
      <c r="U816" t="inlineStr">
        <is>
          <t>1998-11-03</t>
        </is>
      </c>
      <c r="V816" t="inlineStr">
        <is>
          <t>1998-11-03</t>
        </is>
      </c>
      <c r="W816" t="inlineStr">
        <is>
          <t>1990-02-21</t>
        </is>
      </c>
      <c r="X816" t="inlineStr">
        <is>
          <t>1990-02-21</t>
        </is>
      </c>
      <c r="Y816" t="n">
        <v>231</v>
      </c>
      <c r="Z816" t="n">
        <v>152</v>
      </c>
      <c r="AA816" t="n">
        <v>592</v>
      </c>
      <c r="AB816" t="n">
        <v>3</v>
      </c>
      <c r="AC816" t="n">
        <v>4</v>
      </c>
      <c r="AD816" t="n">
        <v>3</v>
      </c>
      <c r="AE816" t="n">
        <v>25</v>
      </c>
      <c r="AF816" t="n">
        <v>1</v>
      </c>
      <c r="AG816" t="n">
        <v>10</v>
      </c>
      <c r="AH816" t="n">
        <v>0</v>
      </c>
      <c r="AI816" t="n">
        <v>5</v>
      </c>
      <c r="AJ816" t="n">
        <v>2</v>
      </c>
      <c r="AK816" t="n">
        <v>16</v>
      </c>
      <c r="AL816" t="n">
        <v>1</v>
      </c>
      <c r="AM816" t="n">
        <v>2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HYPERLINK("https://creighton-primo.hosted.exlibrisgroup.com/primo-explore/search?tab=default_tab&amp;search_scope=EVERYTHING&amp;vid=01CRU&amp;lang=en_US&amp;offset=0&amp;query=any,contains,991000217029702656","Catalog Record")</f>
        <v/>
      </c>
      <c r="AT816">
        <f>HYPERLINK("http://www.worldcat.org/oclc/9563915","WorldCat Record")</f>
        <v/>
      </c>
      <c r="AU816" t="inlineStr">
        <is>
          <t>23501414:eng</t>
        </is>
      </c>
      <c r="AV816" t="inlineStr">
        <is>
          <t>9563915</t>
        </is>
      </c>
      <c r="AW816" t="inlineStr">
        <is>
          <t>991000217029702656</t>
        </is>
      </c>
      <c r="AX816" t="inlineStr">
        <is>
          <t>991000217029702656</t>
        </is>
      </c>
      <c r="AY816" t="inlineStr">
        <is>
          <t>2267267250002656</t>
        </is>
      </c>
      <c r="AZ816" t="inlineStr">
        <is>
          <t>BOOK</t>
        </is>
      </c>
      <c r="BB816" t="inlineStr">
        <is>
          <t>9780395331651</t>
        </is>
      </c>
      <c r="BC816" t="inlineStr">
        <is>
          <t>32285000058080</t>
        </is>
      </c>
      <c r="BD816" t="inlineStr">
        <is>
          <t>893865209</t>
        </is>
      </c>
    </row>
    <row r="817">
      <c r="A817" t="inlineStr">
        <is>
          <t>No</t>
        </is>
      </c>
      <c r="B817" t="inlineStr">
        <is>
          <t>BF637.C6 P45 1987</t>
        </is>
      </c>
      <c r="C817" t="inlineStr">
        <is>
          <t>0                      BF 0637000C  6                  P  45          1987</t>
        </is>
      </c>
      <c r="D817" t="inlineStr">
        <is>
          <t>Orientation to counseling / J. Vincent Peterson, Bernard Nisenholz.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Peterson, J. Vincent.</t>
        </is>
      </c>
      <c r="L817" t="inlineStr">
        <is>
          <t>Newton, Mass. : Allyn and Bacon, c1987.</t>
        </is>
      </c>
      <c r="M817" t="inlineStr">
        <is>
          <t>1987</t>
        </is>
      </c>
      <c r="O817" t="inlineStr">
        <is>
          <t>eng</t>
        </is>
      </c>
      <c r="P817" t="inlineStr">
        <is>
          <t>mau</t>
        </is>
      </c>
      <c r="R817" t="inlineStr">
        <is>
          <t xml:space="preserve">BF </t>
        </is>
      </c>
      <c r="S817" t="n">
        <v>5</v>
      </c>
      <c r="T817" t="n">
        <v>5</v>
      </c>
      <c r="U817" t="inlineStr">
        <is>
          <t>1998-03-27</t>
        </is>
      </c>
      <c r="V817" t="inlineStr">
        <is>
          <t>1998-03-27</t>
        </is>
      </c>
      <c r="W817" t="inlineStr">
        <is>
          <t>1996-07-16</t>
        </is>
      </c>
      <c r="X817" t="inlineStr">
        <is>
          <t>1996-07-16</t>
        </is>
      </c>
      <c r="Y817" t="n">
        <v>93</v>
      </c>
      <c r="Z817" t="n">
        <v>67</v>
      </c>
      <c r="AA817" t="n">
        <v>227</v>
      </c>
      <c r="AB817" t="n">
        <v>1</v>
      </c>
      <c r="AC817" t="n">
        <v>2</v>
      </c>
      <c r="AD817" t="n">
        <v>2</v>
      </c>
      <c r="AE817" t="n">
        <v>9</v>
      </c>
      <c r="AF817" t="n">
        <v>1</v>
      </c>
      <c r="AG817" t="n">
        <v>4</v>
      </c>
      <c r="AH817" t="n">
        <v>0</v>
      </c>
      <c r="AI817" t="n">
        <v>3</v>
      </c>
      <c r="AJ817" t="n">
        <v>2</v>
      </c>
      <c r="AK817" t="n">
        <v>6</v>
      </c>
      <c r="AL817" t="n">
        <v>0</v>
      </c>
      <c r="AM817" t="n">
        <v>1</v>
      </c>
      <c r="AN817" t="n">
        <v>0</v>
      </c>
      <c r="AO817" t="n">
        <v>0</v>
      </c>
      <c r="AP817" t="inlineStr">
        <is>
          <t>No</t>
        </is>
      </c>
      <c r="AQ817" t="inlineStr">
        <is>
          <t>Yes</t>
        </is>
      </c>
      <c r="AR817">
        <f>HYPERLINK("http://catalog.hathitrust.org/Record/101910537","HathiTrust Record")</f>
        <v/>
      </c>
      <c r="AS817">
        <f>HYPERLINK("https://creighton-primo.hosted.exlibrisgroup.com/primo-explore/search?tab=default_tab&amp;search_scope=EVERYTHING&amp;vid=01CRU&amp;lang=en_US&amp;offset=0&amp;query=any,contains,991000938639702656","Catalog Record")</f>
        <v/>
      </c>
      <c r="AT817">
        <f>HYPERLINK("http://www.worldcat.org/oclc/14378347","WorldCat Record")</f>
        <v/>
      </c>
      <c r="AU817" t="inlineStr">
        <is>
          <t>600874:eng</t>
        </is>
      </c>
      <c r="AV817" t="inlineStr">
        <is>
          <t>14378347</t>
        </is>
      </c>
      <c r="AW817" t="inlineStr">
        <is>
          <t>991000938639702656</t>
        </is>
      </c>
      <c r="AX817" t="inlineStr">
        <is>
          <t>991000938639702656</t>
        </is>
      </c>
      <c r="AY817" t="inlineStr">
        <is>
          <t>2261236930002656</t>
        </is>
      </c>
      <c r="AZ817" t="inlineStr">
        <is>
          <t>BOOK</t>
        </is>
      </c>
      <c r="BB817" t="inlineStr">
        <is>
          <t>9780205104758</t>
        </is>
      </c>
      <c r="BC817" t="inlineStr">
        <is>
          <t>32285000028984</t>
        </is>
      </c>
      <c r="BD817" t="inlineStr">
        <is>
          <t>893797148</t>
        </is>
      </c>
    </row>
    <row r="818">
      <c r="A818" t="inlineStr">
        <is>
          <t>No</t>
        </is>
      </c>
      <c r="B818" t="inlineStr">
        <is>
          <t>BF637.C6 P46</t>
        </is>
      </c>
      <c r="C818" t="inlineStr">
        <is>
          <t>0                      BF 0637000C  6                  P  46</t>
        </is>
      </c>
      <c r="D818" t="inlineStr">
        <is>
          <t>Counseling and values : a philosophical examination.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K818" t="inlineStr">
        <is>
          <t>Peterson, James Allan.</t>
        </is>
      </c>
      <c r="L818" t="inlineStr">
        <is>
          <t>Scranton, Pa. : International Textbook Co., [1970]</t>
        </is>
      </c>
      <c r="M818" t="inlineStr">
        <is>
          <t>1970</t>
        </is>
      </c>
      <c r="O818" t="inlineStr">
        <is>
          <t>eng</t>
        </is>
      </c>
      <c r="P818" t="inlineStr">
        <is>
          <t>pau</t>
        </is>
      </c>
      <c r="Q818" t="inlineStr">
        <is>
          <t>The International series in guidance and counseling</t>
        </is>
      </c>
      <c r="R818" t="inlineStr">
        <is>
          <t xml:space="preserve">BF </t>
        </is>
      </c>
      <c r="S818" t="n">
        <v>2</v>
      </c>
      <c r="T818" t="n">
        <v>2</v>
      </c>
      <c r="U818" t="inlineStr">
        <is>
          <t>1993-05-30</t>
        </is>
      </c>
      <c r="V818" t="inlineStr">
        <is>
          <t>1993-05-30</t>
        </is>
      </c>
      <c r="W818" t="inlineStr">
        <is>
          <t>1992-06-18</t>
        </is>
      </c>
      <c r="X818" t="inlineStr">
        <is>
          <t>1992-06-18</t>
        </is>
      </c>
      <c r="Y818" t="n">
        <v>255</v>
      </c>
      <c r="Z818" t="n">
        <v>218</v>
      </c>
      <c r="AA818" t="n">
        <v>291</v>
      </c>
      <c r="AB818" t="n">
        <v>4</v>
      </c>
      <c r="AC818" t="n">
        <v>4</v>
      </c>
      <c r="AD818" t="n">
        <v>11</v>
      </c>
      <c r="AE818" t="n">
        <v>13</v>
      </c>
      <c r="AF818" t="n">
        <v>4</v>
      </c>
      <c r="AG818" t="n">
        <v>5</v>
      </c>
      <c r="AH818" t="n">
        <v>3</v>
      </c>
      <c r="AI818" t="n">
        <v>3</v>
      </c>
      <c r="AJ818" t="n">
        <v>4</v>
      </c>
      <c r="AK818" t="n">
        <v>6</v>
      </c>
      <c r="AL818" t="n">
        <v>3</v>
      </c>
      <c r="AM818" t="n">
        <v>3</v>
      </c>
      <c r="AN818" t="n">
        <v>0</v>
      </c>
      <c r="AO818" t="n">
        <v>0</v>
      </c>
      <c r="AP818" t="inlineStr">
        <is>
          <t>No</t>
        </is>
      </c>
      <c r="AQ818" t="inlineStr">
        <is>
          <t>No</t>
        </is>
      </c>
      <c r="AS818">
        <f>HYPERLINK("https://creighton-primo.hosted.exlibrisgroup.com/primo-explore/search?tab=default_tab&amp;search_scope=EVERYTHING&amp;vid=01CRU&amp;lang=en_US&amp;offset=0&amp;query=any,contains,991000541829702656","Catalog Record")</f>
        <v/>
      </c>
      <c r="AT818">
        <f>HYPERLINK("http://www.worldcat.org/oclc/90599","WorldCat Record")</f>
        <v/>
      </c>
      <c r="AU818" t="inlineStr">
        <is>
          <t>1298701:eng</t>
        </is>
      </c>
      <c r="AV818" t="inlineStr">
        <is>
          <t>90599</t>
        </is>
      </c>
      <c r="AW818" t="inlineStr">
        <is>
          <t>991000541829702656</t>
        </is>
      </c>
      <c r="AX818" t="inlineStr">
        <is>
          <t>991000541829702656</t>
        </is>
      </c>
      <c r="AY818" t="inlineStr">
        <is>
          <t>2266337530002656</t>
        </is>
      </c>
      <c r="AZ818" t="inlineStr">
        <is>
          <t>BOOK</t>
        </is>
      </c>
      <c r="BB818" t="inlineStr">
        <is>
          <t>9780700222766</t>
        </is>
      </c>
      <c r="BC818" t="inlineStr">
        <is>
          <t>32285001132538</t>
        </is>
      </c>
      <c r="BD818" t="inlineStr">
        <is>
          <t>893333562</t>
        </is>
      </c>
    </row>
    <row r="819">
      <c r="A819" t="inlineStr">
        <is>
          <t>No</t>
        </is>
      </c>
      <c r="B819" t="inlineStr">
        <is>
          <t>BF637.C6 P5 1978</t>
        </is>
      </c>
      <c r="C819" t="inlineStr">
        <is>
          <t>0                      BF 0637000C  6                  P  5           1978</t>
        </is>
      </c>
      <c r="D819" t="inlineStr">
        <is>
          <t>The authentic counselor / John J. Pietrofesa, George E. Leonard, William Van Hoose.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Pietrofesa, John J., 1940-</t>
        </is>
      </c>
      <c r="L819" t="inlineStr">
        <is>
          <t>Chicago : Rand McNally College Pub. Co., c1978.</t>
        </is>
      </c>
      <c r="M819" t="inlineStr">
        <is>
          <t>1978</t>
        </is>
      </c>
      <c r="N819" t="inlineStr">
        <is>
          <t>2d ed.</t>
        </is>
      </c>
      <c r="O819" t="inlineStr">
        <is>
          <t>eng</t>
        </is>
      </c>
      <c r="P819" t="inlineStr">
        <is>
          <t>ilu</t>
        </is>
      </c>
      <c r="Q819" t="inlineStr">
        <is>
          <t>Rand McNally education series</t>
        </is>
      </c>
      <c r="R819" t="inlineStr">
        <is>
          <t xml:space="preserve">BF </t>
        </is>
      </c>
      <c r="S819" t="n">
        <v>4</v>
      </c>
      <c r="T819" t="n">
        <v>4</v>
      </c>
      <c r="U819" t="inlineStr">
        <is>
          <t>2002-06-25</t>
        </is>
      </c>
      <c r="V819" t="inlineStr">
        <is>
          <t>2002-06-25</t>
        </is>
      </c>
      <c r="W819" t="inlineStr">
        <is>
          <t>1990-07-17</t>
        </is>
      </c>
      <c r="X819" t="inlineStr">
        <is>
          <t>1990-07-17</t>
        </is>
      </c>
      <c r="Y819" t="n">
        <v>238</v>
      </c>
      <c r="Z819" t="n">
        <v>200</v>
      </c>
      <c r="AA819" t="n">
        <v>400</v>
      </c>
      <c r="AB819" t="n">
        <v>2</v>
      </c>
      <c r="AC819" t="n">
        <v>4</v>
      </c>
      <c r="AD819" t="n">
        <v>5</v>
      </c>
      <c r="AE819" t="n">
        <v>16</v>
      </c>
      <c r="AF819" t="n">
        <v>2</v>
      </c>
      <c r="AG819" t="n">
        <v>3</v>
      </c>
      <c r="AH819" t="n">
        <v>0</v>
      </c>
      <c r="AI819" t="n">
        <v>4</v>
      </c>
      <c r="AJ819" t="n">
        <v>4</v>
      </c>
      <c r="AK819" t="n">
        <v>11</v>
      </c>
      <c r="AL819" t="n">
        <v>1</v>
      </c>
      <c r="AM819" t="n">
        <v>3</v>
      </c>
      <c r="AN819" t="n">
        <v>0</v>
      </c>
      <c r="AO819" t="n">
        <v>0</v>
      </c>
      <c r="AP819" t="inlineStr">
        <is>
          <t>No</t>
        </is>
      </c>
      <c r="AQ819" t="inlineStr">
        <is>
          <t>No</t>
        </is>
      </c>
      <c r="AS819">
        <f>HYPERLINK("https://creighton-primo.hosted.exlibrisgroup.com/primo-explore/search?tab=default_tab&amp;search_scope=EVERYTHING&amp;vid=01CRU&amp;lang=en_US&amp;offset=0&amp;query=any,contains,991004542079702656","Catalog Record")</f>
        <v/>
      </c>
      <c r="AT819">
        <f>HYPERLINK("http://www.worldcat.org/oclc/3898815","WorldCat Record")</f>
        <v/>
      </c>
      <c r="AU819" t="inlineStr">
        <is>
          <t>1179083:eng</t>
        </is>
      </c>
      <c r="AV819" t="inlineStr">
        <is>
          <t>3898815</t>
        </is>
      </c>
      <c r="AW819" t="inlineStr">
        <is>
          <t>991004542079702656</t>
        </is>
      </c>
      <c r="AX819" t="inlineStr">
        <is>
          <t>991004542079702656</t>
        </is>
      </c>
      <c r="AY819" t="inlineStr">
        <is>
          <t>2270612850002656</t>
        </is>
      </c>
      <c r="AZ819" t="inlineStr">
        <is>
          <t>BOOK</t>
        </is>
      </c>
      <c r="BB819" t="inlineStr">
        <is>
          <t>9780528612527</t>
        </is>
      </c>
      <c r="BC819" t="inlineStr">
        <is>
          <t>32285000238344</t>
        </is>
      </c>
      <c r="BD819" t="inlineStr">
        <is>
          <t>893593833</t>
        </is>
      </c>
    </row>
    <row r="820">
      <c r="A820" t="inlineStr">
        <is>
          <t>No</t>
        </is>
      </c>
      <c r="B820" t="inlineStr">
        <is>
          <t>BF637.C6 S55</t>
        </is>
      </c>
      <c r="C820" t="inlineStr">
        <is>
          <t>0                      BF 0637000C  6                  S  55</t>
        </is>
      </c>
      <c r="D820" t="inlineStr">
        <is>
          <t>Foundations of guidance and counseling : multidisciplinary readings / edited by C. E. Smith and O. G. Mink.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Smith, C. E. (Charles Edgar), 1937-, compiler.</t>
        </is>
      </c>
      <c r="L820" t="inlineStr">
        <is>
          <t>Philadelphia : J. Lippincott, [1969]</t>
        </is>
      </c>
      <c r="M820" t="inlineStr">
        <is>
          <t>1969</t>
        </is>
      </c>
      <c r="O820" t="inlineStr">
        <is>
          <t>eng</t>
        </is>
      </c>
      <c r="P820" t="inlineStr">
        <is>
          <t>pau</t>
        </is>
      </c>
      <c r="R820" t="inlineStr">
        <is>
          <t xml:space="preserve">BF </t>
        </is>
      </c>
      <c r="S820" t="n">
        <v>2</v>
      </c>
      <c r="T820" t="n">
        <v>2</v>
      </c>
      <c r="U820" t="inlineStr">
        <is>
          <t>1998-02-01</t>
        </is>
      </c>
      <c r="V820" t="inlineStr">
        <is>
          <t>1998-02-01</t>
        </is>
      </c>
      <c r="W820" t="inlineStr">
        <is>
          <t>1992-06-25</t>
        </is>
      </c>
      <c r="X820" t="inlineStr">
        <is>
          <t>1992-06-25</t>
        </is>
      </c>
      <c r="Y820" t="n">
        <v>295</v>
      </c>
      <c r="Z820" t="n">
        <v>255</v>
      </c>
      <c r="AA820" t="n">
        <v>257</v>
      </c>
      <c r="AB820" t="n">
        <v>2</v>
      </c>
      <c r="AC820" t="n">
        <v>2</v>
      </c>
      <c r="AD820" t="n">
        <v>11</v>
      </c>
      <c r="AE820" t="n">
        <v>11</v>
      </c>
      <c r="AF820" t="n">
        <v>3</v>
      </c>
      <c r="AG820" t="n">
        <v>3</v>
      </c>
      <c r="AH820" t="n">
        <v>3</v>
      </c>
      <c r="AI820" t="n">
        <v>3</v>
      </c>
      <c r="AJ820" t="n">
        <v>8</v>
      </c>
      <c r="AK820" t="n">
        <v>8</v>
      </c>
      <c r="AL820" t="n">
        <v>1</v>
      </c>
      <c r="AM820" t="n">
        <v>1</v>
      </c>
      <c r="AN820" t="n">
        <v>0</v>
      </c>
      <c r="AO820" t="n">
        <v>0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HYPERLINK("http://catalog.hathitrust.org/Record/000387996","HathiTrust Record")</f>
        <v/>
      </c>
      <c r="AS820">
        <f>HYPERLINK("https://creighton-primo.hosted.exlibrisgroup.com/primo-explore/search?tab=default_tab&amp;search_scope=EVERYTHING&amp;vid=01CRU&amp;lang=en_US&amp;offset=0&amp;query=any,contains,991000506819702656","Catalog Record")</f>
        <v/>
      </c>
      <c r="AT820">
        <f>HYPERLINK("http://www.worldcat.org/oclc/82853","WorldCat Record")</f>
        <v/>
      </c>
      <c r="AU820" t="inlineStr">
        <is>
          <t>1269829:eng</t>
        </is>
      </c>
      <c r="AV820" t="inlineStr">
        <is>
          <t>82853</t>
        </is>
      </c>
      <c r="AW820" t="inlineStr">
        <is>
          <t>991000506819702656</t>
        </is>
      </c>
      <c r="AX820" t="inlineStr">
        <is>
          <t>991000506819702656</t>
        </is>
      </c>
      <c r="AY820" t="inlineStr">
        <is>
          <t>2272109190002656</t>
        </is>
      </c>
      <c r="AZ820" t="inlineStr">
        <is>
          <t>BOOK</t>
        </is>
      </c>
      <c r="BC820" t="inlineStr">
        <is>
          <t>32285001145407</t>
        </is>
      </c>
      <c r="BD820" t="inlineStr">
        <is>
          <t>893790576</t>
        </is>
      </c>
    </row>
    <row r="821">
      <c r="A821" t="inlineStr">
        <is>
          <t>No</t>
        </is>
      </c>
      <c r="B821" t="inlineStr">
        <is>
          <t>BF637.C6 S776</t>
        </is>
      </c>
      <c r="C821" t="inlineStr">
        <is>
          <t>0                      BF 0637000C  6                  S  776</t>
        </is>
      </c>
      <c r="D821" t="inlineStr">
        <is>
          <t>A cognitive-behavioral approach to counseling psychology : implications for practice, research, and training / Gerald L. Stone.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Stone, Gerald L., 1941-</t>
        </is>
      </c>
      <c r="L821" t="inlineStr">
        <is>
          <t>New York : Praeger, 1980.</t>
        </is>
      </c>
      <c r="M821" t="inlineStr">
        <is>
          <t>1980</t>
        </is>
      </c>
      <c r="O821" t="inlineStr">
        <is>
          <t>eng</t>
        </is>
      </c>
      <c r="P821" t="inlineStr">
        <is>
          <t>nyu</t>
        </is>
      </c>
      <c r="R821" t="inlineStr">
        <is>
          <t xml:space="preserve">BF </t>
        </is>
      </c>
      <c r="S821" t="n">
        <v>9</v>
      </c>
      <c r="T821" t="n">
        <v>9</v>
      </c>
      <c r="U821" t="inlineStr">
        <is>
          <t>1999-04-21</t>
        </is>
      </c>
      <c r="V821" t="inlineStr">
        <is>
          <t>1999-04-21</t>
        </is>
      </c>
      <c r="W821" t="inlineStr">
        <is>
          <t>1993-03-26</t>
        </is>
      </c>
      <c r="X821" t="inlineStr">
        <is>
          <t>1993-03-26</t>
        </is>
      </c>
      <c r="Y821" t="n">
        <v>325</v>
      </c>
      <c r="Z821" t="n">
        <v>270</v>
      </c>
      <c r="AA821" t="n">
        <v>276</v>
      </c>
      <c r="AB821" t="n">
        <v>3</v>
      </c>
      <c r="AC821" t="n">
        <v>3</v>
      </c>
      <c r="AD821" t="n">
        <v>10</v>
      </c>
      <c r="AE821" t="n">
        <v>10</v>
      </c>
      <c r="AF821" t="n">
        <v>4</v>
      </c>
      <c r="AG821" t="n">
        <v>4</v>
      </c>
      <c r="AH821" t="n">
        <v>0</v>
      </c>
      <c r="AI821" t="n">
        <v>0</v>
      </c>
      <c r="AJ821" t="n">
        <v>7</v>
      </c>
      <c r="AK821" t="n">
        <v>7</v>
      </c>
      <c r="AL821" t="n">
        <v>2</v>
      </c>
      <c r="AM821" t="n">
        <v>2</v>
      </c>
      <c r="AN821" t="n">
        <v>0</v>
      </c>
      <c r="AO821" t="n">
        <v>0</v>
      </c>
      <c r="AP821" t="inlineStr">
        <is>
          <t>No</t>
        </is>
      </c>
      <c r="AQ821" t="inlineStr">
        <is>
          <t>No</t>
        </is>
      </c>
      <c r="AS821">
        <f>HYPERLINK("https://creighton-primo.hosted.exlibrisgroup.com/primo-explore/search?tab=default_tab&amp;search_scope=EVERYTHING&amp;vid=01CRU&amp;lang=en_US&amp;offset=0&amp;query=any,contains,991005027179702656","Catalog Record")</f>
        <v/>
      </c>
      <c r="AT821">
        <f>HYPERLINK("http://www.worldcat.org/oclc/6707200","WorldCat Record")</f>
        <v/>
      </c>
      <c r="AU821" t="inlineStr">
        <is>
          <t>571730:eng</t>
        </is>
      </c>
      <c r="AV821" t="inlineStr">
        <is>
          <t>6707200</t>
        </is>
      </c>
      <c r="AW821" t="inlineStr">
        <is>
          <t>991005027179702656</t>
        </is>
      </c>
      <c r="AX821" t="inlineStr">
        <is>
          <t>991005027179702656</t>
        </is>
      </c>
      <c r="AY821" t="inlineStr">
        <is>
          <t>2258144230002656</t>
        </is>
      </c>
      <c r="AZ821" t="inlineStr">
        <is>
          <t>BOOK</t>
        </is>
      </c>
      <c r="BB821" t="inlineStr">
        <is>
          <t>9780030559266</t>
        </is>
      </c>
      <c r="BC821" t="inlineStr">
        <is>
          <t>32285001591790</t>
        </is>
      </c>
      <c r="BD821" t="inlineStr">
        <is>
          <t>893319913</t>
        </is>
      </c>
    </row>
    <row r="822">
      <c r="A822" t="inlineStr">
        <is>
          <t>No</t>
        </is>
      </c>
      <c r="B822" t="inlineStr">
        <is>
          <t>BF637.C6 T5 1970</t>
        </is>
      </c>
      <c r="C822" t="inlineStr">
        <is>
          <t>0                      BF 0637000C  6                  T  5           1970</t>
        </is>
      </c>
      <c r="D822" t="inlineStr">
        <is>
          <t>The group process as a helping technique; a textbook for social workers, psychiatrists, psychologists, doctors, teachers, and other workers in community services, by Sheila Thompson and J. H. Kahn. With an introd. by Eileen Younghusband.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Thompson, Sheila.</t>
        </is>
      </c>
      <c r="L822" t="inlineStr">
        <is>
          <t>Oxford, New York, Pergamon Press [1970]</t>
        </is>
      </c>
      <c r="M822" t="inlineStr">
        <is>
          <t>1970</t>
        </is>
      </c>
      <c r="N822" t="inlineStr">
        <is>
          <t>[1st ed.]</t>
        </is>
      </c>
      <c r="O822" t="inlineStr">
        <is>
          <t>eng</t>
        </is>
      </c>
      <c r="P822" t="inlineStr">
        <is>
          <t>enk</t>
        </is>
      </c>
      <c r="Q822" t="inlineStr">
        <is>
          <t>The Commonwealth and international library. Social work division</t>
        </is>
      </c>
      <c r="R822" t="inlineStr">
        <is>
          <t xml:space="preserve">BF </t>
        </is>
      </c>
      <c r="S822" t="n">
        <v>3</v>
      </c>
      <c r="T822" t="n">
        <v>3</v>
      </c>
      <c r="U822" t="inlineStr">
        <is>
          <t>1998-11-22</t>
        </is>
      </c>
      <c r="V822" t="inlineStr">
        <is>
          <t>1998-11-22</t>
        </is>
      </c>
      <c r="W822" t="inlineStr">
        <is>
          <t>1996-08-01</t>
        </is>
      </c>
      <c r="X822" t="inlineStr">
        <is>
          <t>1996-08-01</t>
        </is>
      </c>
      <c r="Y822" t="n">
        <v>419</v>
      </c>
      <c r="Z822" t="n">
        <v>328</v>
      </c>
      <c r="AA822" t="n">
        <v>338</v>
      </c>
      <c r="AB822" t="n">
        <v>6</v>
      </c>
      <c r="AC822" t="n">
        <v>6</v>
      </c>
      <c r="AD822" t="n">
        <v>18</v>
      </c>
      <c r="AE822" t="n">
        <v>18</v>
      </c>
      <c r="AF822" t="n">
        <v>7</v>
      </c>
      <c r="AG822" t="n">
        <v>7</v>
      </c>
      <c r="AH822" t="n">
        <v>2</v>
      </c>
      <c r="AI822" t="n">
        <v>2</v>
      </c>
      <c r="AJ822" t="n">
        <v>10</v>
      </c>
      <c r="AK822" t="n">
        <v>10</v>
      </c>
      <c r="AL822" t="n">
        <v>4</v>
      </c>
      <c r="AM822" t="n">
        <v>4</v>
      </c>
      <c r="AN822" t="n">
        <v>0</v>
      </c>
      <c r="AO822" t="n">
        <v>0</v>
      </c>
      <c r="AP822" t="inlineStr">
        <is>
          <t>No</t>
        </is>
      </c>
      <c r="AQ822" t="inlineStr">
        <is>
          <t>Yes</t>
        </is>
      </c>
      <c r="AR822">
        <f>HYPERLINK("http://catalog.hathitrust.org/Record/000001329","HathiTrust Record")</f>
        <v/>
      </c>
      <c r="AS822">
        <f>HYPERLINK("https://creighton-primo.hosted.exlibrisgroup.com/primo-explore/search?tab=default_tab&amp;search_scope=EVERYTHING&amp;vid=01CRU&amp;lang=en_US&amp;offset=0&amp;query=any,contains,991000596579702656","Catalog Record")</f>
        <v/>
      </c>
      <c r="AT822">
        <f>HYPERLINK("http://www.worldcat.org/oclc/97187","WorldCat Record")</f>
        <v/>
      </c>
      <c r="AU822" t="inlineStr">
        <is>
          <t>889685112:eng</t>
        </is>
      </c>
      <c r="AV822" t="inlineStr">
        <is>
          <t>97187</t>
        </is>
      </c>
      <c r="AW822" t="inlineStr">
        <is>
          <t>991000596579702656</t>
        </is>
      </c>
      <c r="AX822" t="inlineStr">
        <is>
          <t>991000596579702656</t>
        </is>
      </c>
      <c r="AY822" t="inlineStr">
        <is>
          <t>2269824950002656</t>
        </is>
      </c>
      <c r="AZ822" t="inlineStr">
        <is>
          <t>BOOK</t>
        </is>
      </c>
      <c r="BB822" t="inlineStr">
        <is>
          <t>9780080162195</t>
        </is>
      </c>
      <c r="BC822" t="inlineStr">
        <is>
          <t>32285002252137</t>
        </is>
      </c>
      <c r="BD822" t="inlineStr">
        <is>
          <t>893521824</t>
        </is>
      </c>
    </row>
    <row r="823">
      <c r="A823" t="inlineStr">
        <is>
          <t>No</t>
        </is>
      </c>
      <c r="B823" t="inlineStr">
        <is>
          <t>BF637.C6 V32 1987</t>
        </is>
      </c>
      <c r="C823" t="inlineStr">
        <is>
          <t>0                      BF 0637000C  6                  V  32          1987</t>
        </is>
      </c>
      <c r="D823" t="inlineStr">
        <is>
          <t>Counseling as a profession / Nicholas A. Vacc, Larry C. Loesch.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Vacc, Nicholas A.</t>
        </is>
      </c>
      <c r="L823" t="inlineStr">
        <is>
          <t>Muncie, IN : Accelerated Development, c1987.</t>
        </is>
      </c>
      <c r="M823" t="inlineStr">
        <is>
          <t>1987</t>
        </is>
      </c>
      <c r="O823" t="inlineStr">
        <is>
          <t>eng</t>
        </is>
      </c>
      <c r="P823" t="inlineStr">
        <is>
          <t>inu</t>
        </is>
      </c>
      <c r="R823" t="inlineStr">
        <is>
          <t xml:space="preserve">BF </t>
        </is>
      </c>
      <c r="S823" t="n">
        <v>12</v>
      </c>
      <c r="T823" t="n">
        <v>12</v>
      </c>
      <c r="U823" t="inlineStr">
        <is>
          <t>2008-10-16</t>
        </is>
      </c>
      <c r="V823" t="inlineStr">
        <is>
          <t>2008-10-16</t>
        </is>
      </c>
      <c r="W823" t="inlineStr">
        <is>
          <t>1992-07-07</t>
        </is>
      </c>
      <c r="X823" t="inlineStr">
        <is>
          <t>1992-07-07</t>
        </is>
      </c>
      <c r="Y823" t="n">
        <v>164</v>
      </c>
      <c r="Z823" t="n">
        <v>156</v>
      </c>
      <c r="AA823" t="n">
        <v>159</v>
      </c>
      <c r="AB823" t="n">
        <v>4</v>
      </c>
      <c r="AC823" t="n">
        <v>4</v>
      </c>
      <c r="AD823" t="n">
        <v>6</v>
      </c>
      <c r="AE823" t="n">
        <v>6</v>
      </c>
      <c r="AF823" t="n">
        <v>2</v>
      </c>
      <c r="AG823" t="n">
        <v>2</v>
      </c>
      <c r="AH823" t="n">
        <v>1</v>
      </c>
      <c r="AI823" t="n">
        <v>1</v>
      </c>
      <c r="AJ823" t="n">
        <v>1</v>
      </c>
      <c r="AK823" t="n">
        <v>1</v>
      </c>
      <c r="AL823" t="n">
        <v>3</v>
      </c>
      <c r="AM823" t="n">
        <v>3</v>
      </c>
      <c r="AN823" t="n">
        <v>0</v>
      </c>
      <c r="AO823" t="n">
        <v>0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HYPERLINK("http://catalog.hathitrust.org/Record/009812913","HathiTrust Record")</f>
        <v/>
      </c>
      <c r="AS823">
        <f>HYPERLINK("https://creighton-primo.hosted.exlibrisgroup.com/primo-explore/search?tab=default_tab&amp;search_scope=EVERYTHING&amp;vid=01CRU&amp;lang=en_US&amp;offset=0&amp;query=any,contains,991001127299702656","Catalog Record")</f>
        <v/>
      </c>
      <c r="AT823">
        <f>HYPERLINK("http://www.worldcat.org/oclc/16656186","WorldCat Record")</f>
        <v/>
      </c>
      <c r="AU823" t="inlineStr">
        <is>
          <t>11999462:eng</t>
        </is>
      </c>
      <c r="AV823" t="inlineStr">
        <is>
          <t>16656186</t>
        </is>
      </c>
      <c r="AW823" t="inlineStr">
        <is>
          <t>991001127299702656</t>
        </is>
      </c>
      <c r="AX823" t="inlineStr">
        <is>
          <t>991001127299702656</t>
        </is>
      </c>
      <c r="AY823" t="inlineStr">
        <is>
          <t>2261270040002656</t>
        </is>
      </c>
      <c r="AZ823" t="inlineStr">
        <is>
          <t>BOOK</t>
        </is>
      </c>
      <c r="BB823" t="inlineStr">
        <is>
          <t>9780915202669</t>
        </is>
      </c>
      <c r="BC823" t="inlineStr">
        <is>
          <t>32285001149599</t>
        </is>
      </c>
      <c r="BD823" t="inlineStr">
        <is>
          <t>893778574</t>
        </is>
      </c>
    </row>
    <row r="824">
      <c r="A824" t="inlineStr">
        <is>
          <t>No</t>
        </is>
      </c>
      <c r="B824" t="inlineStr">
        <is>
          <t>BF637.H4 C37 1977</t>
        </is>
      </c>
      <c r="C824" t="inlineStr">
        <is>
          <t>0                      BF 0637000H  4                  C  37          1977</t>
        </is>
      </c>
      <c r="D824" t="inlineStr">
        <is>
          <t>The art of helping III / Robert R. Carkhuff, with Richard M. Pierce and John R. Cannon ; [illustrated by Tom Capolongo].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Carkhuff, Robert R.</t>
        </is>
      </c>
      <c r="L824" t="inlineStr">
        <is>
          <t>Amherst, MA : Human Resource Development Press, c1977, 1978 printing.</t>
        </is>
      </c>
      <c r="M824" t="inlineStr">
        <is>
          <t>1977</t>
        </is>
      </c>
      <c r="N824" t="inlineStr">
        <is>
          <t>3d ed.</t>
        </is>
      </c>
      <c r="O824" t="inlineStr">
        <is>
          <t>eng</t>
        </is>
      </c>
      <c r="P824" t="inlineStr">
        <is>
          <t>mau</t>
        </is>
      </c>
      <c r="R824" t="inlineStr">
        <is>
          <t xml:space="preserve">BF </t>
        </is>
      </c>
      <c r="S824" t="n">
        <v>4</v>
      </c>
      <c r="T824" t="n">
        <v>4</v>
      </c>
      <c r="U824" t="inlineStr">
        <is>
          <t>1995-11-12</t>
        </is>
      </c>
      <c r="V824" t="inlineStr">
        <is>
          <t>1995-11-12</t>
        </is>
      </c>
      <c r="W824" t="inlineStr">
        <is>
          <t>1992-03-17</t>
        </is>
      </c>
      <c r="X824" t="inlineStr">
        <is>
          <t>1992-03-17</t>
        </is>
      </c>
      <c r="Y824" t="n">
        <v>237</v>
      </c>
      <c r="Z824" t="n">
        <v>193</v>
      </c>
      <c r="AA824" t="n">
        <v>214</v>
      </c>
      <c r="AB824" t="n">
        <v>3</v>
      </c>
      <c r="AC824" t="n">
        <v>3</v>
      </c>
      <c r="AD824" t="n">
        <v>7</v>
      </c>
      <c r="AE824" t="n">
        <v>7</v>
      </c>
      <c r="AF824" t="n">
        <v>1</v>
      </c>
      <c r="AG824" t="n">
        <v>1</v>
      </c>
      <c r="AH824" t="n">
        <v>2</v>
      </c>
      <c r="AI824" t="n">
        <v>2</v>
      </c>
      <c r="AJ824" t="n">
        <v>4</v>
      </c>
      <c r="AK824" t="n">
        <v>4</v>
      </c>
      <c r="AL824" t="n">
        <v>2</v>
      </c>
      <c r="AM824" t="n">
        <v>2</v>
      </c>
      <c r="AN824" t="n">
        <v>0</v>
      </c>
      <c r="AO824" t="n">
        <v>0</v>
      </c>
      <c r="AP824" t="inlineStr">
        <is>
          <t>No</t>
        </is>
      </c>
      <c r="AQ824" t="inlineStr">
        <is>
          <t>No</t>
        </is>
      </c>
      <c r="AS824">
        <f>HYPERLINK("https://creighton-primo.hosted.exlibrisgroup.com/primo-explore/search?tab=default_tab&amp;search_scope=EVERYTHING&amp;vid=01CRU&amp;lang=en_US&amp;offset=0&amp;query=any,contains,991004359199702656","Catalog Record")</f>
        <v/>
      </c>
      <c r="AT824">
        <f>HYPERLINK("http://www.worldcat.org/oclc/3157659","WorldCat Record")</f>
        <v/>
      </c>
      <c r="AU824" t="inlineStr">
        <is>
          <t>9947629:eng</t>
        </is>
      </c>
      <c r="AV824" t="inlineStr">
        <is>
          <t>3157659</t>
        </is>
      </c>
      <c r="AW824" t="inlineStr">
        <is>
          <t>991004359199702656</t>
        </is>
      </c>
      <c r="AX824" t="inlineStr">
        <is>
          <t>991004359199702656</t>
        </is>
      </c>
      <c r="AY824" t="inlineStr">
        <is>
          <t>2254945820002656</t>
        </is>
      </c>
      <c r="AZ824" t="inlineStr">
        <is>
          <t>BOOK</t>
        </is>
      </c>
      <c r="BB824" t="inlineStr">
        <is>
          <t>9780914234036</t>
        </is>
      </c>
      <c r="BC824" t="inlineStr">
        <is>
          <t>32285000528975</t>
        </is>
      </c>
      <c r="BD824" t="inlineStr">
        <is>
          <t>893253601</t>
        </is>
      </c>
    </row>
    <row r="825">
      <c r="A825" t="inlineStr">
        <is>
          <t>No</t>
        </is>
      </c>
      <c r="B825" t="inlineStr">
        <is>
          <t>BF637.H4 C66</t>
        </is>
      </c>
      <c r="C825" t="inlineStr">
        <is>
          <t>0                      BF 0637000H  4                  C  66</t>
        </is>
      </c>
      <c r="D825" t="inlineStr">
        <is>
          <t>Cooperation and helping behavior : theories and research / edited by Valerian J. Derlega and Janusz Grzelak.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L825" t="inlineStr">
        <is>
          <t>New York : Academic Press, 1982.</t>
        </is>
      </c>
      <c r="M825" t="inlineStr">
        <is>
          <t>1981</t>
        </is>
      </c>
      <c r="O825" t="inlineStr">
        <is>
          <t>eng</t>
        </is>
      </c>
      <c r="P825" t="inlineStr">
        <is>
          <t>nyu</t>
        </is>
      </c>
      <c r="R825" t="inlineStr">
        <is>
          <t xml:space="preserve">BF </t>
        </is>
      </c>
      <c r="S825" t="n">
        <v>13</v>
      </c>
      <c r="T825" t="n">
        <v>13</v>
      </c>
      <c r="U825" t="inlineStr">
        <is>
          <t>1997-03-17</t>
        </is>
      </c>
      <c r="V825" t="inlineStr">
        <is>
          <t>1997-03-17</t>
        </is>
      </c>
      <c r="W825" t="inlineStr">
        <is>
          <t>1991-05-16</t>
        </is>
      </c>
      <c r="X825" t="inlineStr">
        <is>
          <t>1991-05-16</t>
        </is>
      </c>
      <c r="Y825" t="n">
        <v>392</v>
      </c>
      <c r="Z825" t="n">
        <v>292</v>
      </c>
      <c r="AA825" t="n">
        <v>331</v>
      </c>
      <c r="AB825" t="n">
        <v>2</v>
      </c>
      <c r="AC825" t="n">
        <v>3</v>
      </c>
      <c r="AD825" t="n">
        <v>14</v>
      </c>
      <c r="AE825" t="n">
        <v>17</v>
      </c>
      <c r="AF825" t="n">
        <v>4</v>
      </c>
      <c r="AG825" t="n">
        <v>5</v>
      </c>
      <c r="AH825" t="n">
        <v>4</v>
      </c>
      <c r="AI825" t="n">
        <v>5</v>
      </c>
      <c r="AJ825" t="n">
        <v>9</v>
      </c>
      <c r="AK825" t="n">
        <v>9</v>
      </c>
      <c r="AL825" t="n">
        <v>1</v>
      </c>
      <c r="AM825" t="n">
        <v>2</v>
      </c>
      <c r="AN825" t="n">
        <v>0</v>
      </c>
      <c r="AO825" t="n">
        <v>0</v>
      </c>
      <c r="AP825" t="inlineStr">
        <is>
          <t>No</t>
        </is>
      </c>
      <c r="AQ825" t="inlineStr">
        <is>
          <t>Yes</t>
        </is>
      </c>
      <c r="AR825">
        <f>HYPERLINK("http://catalog.hathitrust.org/Record/000187127","HathiTrust Record")</f>
        <v/>
      </c>
      <c r="AS825">
        <f>HYPERLINK("https://creighton-primo.hosted.exlibrisgroup.com/primo-explore/search?tab=default_tab&amp;search_scope=EVERYTHING&amp;vid=01CRU&amp;lang=en_US&amp;offset=0&amp;query=any,contains,991005181999702656","Catalog Record")</f>
        <v/>
      </c>
      <c r="AT825">
        <f>HYPERLINK("http://www.worldcat.org/oclc/7946869","WorldCat Record")</f>
        <v/>
      </c>
      <c r="AU825" t="inlineStr">
        <is>
          <t>890362722:eng</t>
        </is>
      </c>
      <c r="AV825" t="inlineStr">
        <is>
          <t>7946869</t>
        </is>
      </c>
      <c r="AW825" t="inlineStr">
        <is>
          <t>991005181999702656</t>
        </is>
      </c>
      <c r="AX825" t="inlineStr">
        <is>
          <t>991005181999702656</t>
        </is>
      </c>
      <c r="AY825" t="inlineStr">
        <is>
          <t>2272473740002656</t>
        </is>
      </c>
      <c r="AZ825" t="inlineStr">
        <is>
          <t>BOOK</t>
        </is>
      </c>
      <c r="BB825" t="inlineStr">
        <is>
          <t>9780122108204</t>
        </is>
      </c>
      <c r="BC825" t="inlineStr">
        <is>
          <t>32285000597632</t>
        </is>
      </c>
      <c r="BD825" t="inlineStr">
        <is>
          <t>893514190</t>
        </is>
      </c>
    </row>
    <row r="826">
      <c r="A826" t="inlineStr">
        <is>
          <t>No</t>
        </is>
      </c>
      <c r="B826" t="inlineStr">
        <is>
          <t>BF637.I5 B37</t>
        </is>
      </c>
      <c r="C826" t="inlineStr">
        <is>
          <t>0                      BF 0637000I  5                  B  37</t>
        </is>
      </c>
      <c r="D826" t="inlineStr">
        <is>
          <t>The helping interview.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Yes</t>
        </is>
      </c>
      <c r="J826" t="inlineStr">
        <is>
          <t>0</t>
        </is>
      </c>
      <c r="K826" t="inlineStr">
        <is>
          <t>Benjamin, Alfred.</t>
        </is>
      </c>
      <c r="L826" t="inlineStr">
        <is>
          <t>Boston, Houghton Mifflin [1969]</t>
        </is>
      </c>
      <c r="M826" t="inlineStr">
        <is>
          <t>1969</t>
        </is>
      </c>
      <c r="O826" t="inlineStr">
        <is>
          <t>eng</t>
        </is>
      </c>
      <c r="P826" t="inlineStr">
        <is>
          <t>mau</t>
        </is>
      </c>
      <c r="R826" t="inlineStr">
        <is>
          <t xml:space="preserve">BF </t>
        </is>
      </c>
      <c r="S826" t="n">
        <v>2</v>
      </c>
      <c r="T826" t="n">
        <v>2</v>
      </c>
      <c r="U826" t="inlineStr">
        <is>
          <t>2007-12-07</t>
        </is>
      </c>
      <c r="V826" t="inlineStr">
        <is>
          <t>2007-12-07</t>
        </is>
      </c>
      <c r="W826" t="inlineStr">
        <is>
          <t>1996-08-01</t>
        </is>
      </c>
      <c r="X826" t="inlineStr">
        <is>
          <t>1996-08-01</t>
        </is>
      </c>
      <c r="Y826" t="n">
        <v>471</v>
      </c>
      <c r="Z826" t="n">
        <v>411</v>
      </c>
      <c r="AA826" t="n">
        <v>1241</v>
      </c>
      <c r="AB826" t="n">
        <v>3</v>
      </c>
      <c r="AC826" t="n">
        <v>11</v>
      </c>
      <c r="AD826" t="n">
        <v>14</v>
      </c>
      <c r="AE826" t="n">
        <v>46</v>
      </c>
      <c r="AF826" t="n">
        <v>10</v>
      </c>
      <c r="AG826" t="n">
        <v>22</v>
      </c>
      <c r="AH826" t="n">
        <v>0</v>
      </c>
      <c r="AI826" t="n">
        <v>9</v>
      </c>
      <c r="AJ826" t="n">
        <v>7</v>
      </c>
      <c r="AK826" t="n">
        <v>20</v>
      </c>
      <c r="AL826" t="n">
        <v>1</v>
      </c>
      <c r="AM826" t="n">
        <v>5</v>
      </c>
      <c r="AN826" t="n">
        <v>0</v>
      </c>
      <c r="AO826" t="n">
        <v>2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HYPERLINK("http://catalog.hathitrust.org/Record/000000106","HathiTrust Record")</f>
        <v/>
      </c>
      <c r="AS826">
        <f>HYPERLINK("https://creighton-primo.hosted.exlibrisgroup.com/primo-explore/search?tab=default_tab&amp;search_scope=EVERYTHING&amp;vid=01CRU&amp;lang=en_US&amp;offset=0&amp;query=any,contains,991000000199702656","Catalog Record")</f>
        <v/>
      </c>
      <c r="AT826">
        <f>HYPERLINK("http://www.worldcat.org/oclc/7624","WorldCat Record")</f>
        <v/>
      </c>
      <c r="AU826" t="inlineStr">
        <is>
          <t>1130775:eng</t>
        </is>
      </c>
      <c r="AV826" t="inlineStr">
        <is>
          <t>7624</t>
        </is>
      </c>
      <c r="AW826" t="inlineStr">
        <is>
          <t>991000000199702656</t>
        </is>
      </c>
      <c r="AX826" t="inlineStr">
        <is>
          <t>991000000199702656</t>
        </is>
      </c>
      <c r="AY826" t="inlineStr">
        <is>
          <t>2267573300002656</t>
        </is>
      </c>
      <c r="AZ826" t="inlineStr">
        <is>
          <t>BOOK</t>
        </is>
      </c>
      <c r="BC826" t="inlineStr">
        <is>
          <t>32285002252236</t>
        </is>
      </c>
      <c r="BD826" t="inlineStr">
        <is>
          <t>893419097</t>
        </is>
      </c>
    </row>
    <row r="827">
      <c r="A827" t="inlineStr">
        <is>
          <t>No</t>
        </is>
      </c>
      <c r="B827" t="inlineStr">
        <is>
          <t>BF637.I5 B37 1981</t>
        </is>
      </c>
      <c r="C827" t="inlineStr">
        <is>
          <t>0                      BF 0637000I  5                  B  37          1981</t>
        </is>
      </c>
      <c r="D827" t="inlineStr">
        <is>
          <t>The helping interview / Alfred Benjamin.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Yes</t>
        </is>
      </c>
      <c r="J827" t="inlineStr">
        <is>
          <t>0</t>
        </is>
      </c>
      <c r="K827" t="inlineStr">
        <is>
          <t>Benjamin, Alfred.</t>
        </is>
      </c>
      <c r="L827" t="inlineStr">
        <is>
          <t>Boston : Houghton Mifflin, c1981.</t>
        </is>
      </c>
      <c r="M827" t="inlineStr">
        <is>
          <t>1981</t>
        </is>
      </c>
      <c r="N827" t="inlineStr">
        <is>
          <t>3rd ed.</t>
        </is>
      </c>
      <c r="O827" t="inlineStr">
        <is>
          <t>eng</t>
        </is>
      </c>
      <c r="P827" t="inlineStr">
        <is>
          <t>mau</t>
        </is>
      </c>
      <c r="R827" t="inlineStr">
        <is>
          <t xml:space="preserve">BF </t>
        </is>
      </c>
      <c r="S827" t="n">
        <v>3</v>
      </c>
      <c r="T827" t="n">
        <v>3</v>
      </c>
      <c r="U827" t="inlineStr">
        <is>
          <t>2008-08-27</t>
        </is>
      </c>
      <c r="V827" t="inlineStr">
        <is>
          <t>2008-08-27</t>
        </is>
      </c>
      <c r="W827" t="inlineStr">
        <is>
          <t>1992-02-19</t>
        </is>
      </c>
      <c r="X827" t="inlineStr">
        <is>
          <t>1992-02-19</t>
        </is>
      </c>
      <c r="Y827" t="n">
        <v>695</v>
      </c>
      <c r="Z827" t="n">
        <v>521</v>
      </c>
      <c r="AA827" t="n">
        <v>1241</v>
      </c>
      <c r="AB827" t="n">
        <v>4</v>
      </c>
      <c r="AC827" t="n">
        <v>11</v>
      </c>
      <c r="AD827" t="n">
        <v>18</v>
      </c>
      <c r="AE827" t="n">
        <v>46</v>
      </c>
      <c r="AF827" t="n">
        <v>8</v>
      </c>
      <c r="AG827" t="n">
        <v>22</v>
      </c>
      <c r="AH827" t="n">
        <v>4</v>
      </c>
      <c r="AI827" t="n">
        <v>9</v>
      </c>
      <c r="AJ827" t="n">
        <v>8</v>
      </c>
      <c r="AK827" t="n">
        <v>20</v>
      </c>
      <c r="AL827" t="n">
        <v>2</v>
      </c>
      <c r="AM827" t="n">
        <v>5</v>
      </c>
      <c r="AN827" t="n">
        <v>1</v>
      </c>
      <c r="AO827" t="n">
        <v>2</v>
      </c>
      <c r="AP827" t="inlineStr">
        <is>
          <t>No</t>
        </is>
      </c>
      <c r="AQ827" t="inlineStr">
        <is>
          <t>Yes</t>
        </is>
      </c>
      <c r="AR827">
        <f>HYPERLINK("http://catalog.hathitrust.org/Record/000760422","HathiTrust Record")</f>
        <v/>
      </c>
      <c r="AS827">
        <f>HYPERLINK("https://creighton-primo.hosted.exlibrisgroup.com/primo-explore/search?tab=default_tab&amp;search_scope=EVERYTHING&amp;vid=01CRU&amp;lang=en_US&amp;offset=0&amp;query=any,contains,991005074899702656","Catalog Record")</f>
        <v/>
      </c>
      <c r="AT827">
        <f>HYPERLINK("http://www.worldcat.org/oclc/7097788","WorldCat Record")</f>
        <v/>
      </c>
      <c r="AU827" t="inlineStr">
        <is>
          <t>1130775:eng</t>
        </is>
      </c>
      <c r="AV827" t="inlineStr">
        <is>
          <t>7097788</t>
        </is>
      </c>
      <c r="AW827" t="inlineStr">
        <is>
          <t>991005074899702656</t>
        </is>
      </c>
      <c r="AX827" t="inlineStr">
        <is>
          <t>991005074899702656</t>
        </is>
      </c>
      <c r="AY827" t="inlineStr">
        <is>
          <t>2259323730002656</t>
        </is>
      </c>
      <c r="AZ827" t="inlineStr">
        <is>
          <t>BOOK</t>
        </is>
      </c>
      <c r="BB827" t="inlineStr">
        <is>
          <t>9780395296486</t>
        </is>
      </c>
      <c r="BC827" t="inlineStr">
        <is>
          <t>32285000981406</t>
        </is>
      </c>
      <c r="BD827" t="inlineStr">
        <is>
          <t>893344601</t>
        </is>
      </c>
    </row>
    <row r="828">
      <c r="A828" t="inlineStr">
        <is>
          <t>No</t>
        </is>
      </c>
      <c r="B828" t="inlineStr">
        <is>
          <t>BF637.I5 E87</t>
        </is>
      </c>
      <c r="C828" t="inlineStr">
        <is>
          <t>0                      BF 0637000I  5                  E  87</t>
        </is>
      </c>
      <c r="D828" t="inlineStr">
        <is>
          <t>Essential interviewing : a programmed approach to effective communication / David R. Evans ... [et al.].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L828" t="inlineStr">
        <is>
          <t>Monterey, Calif. : Brooks/Cole Pub. Co., c1979.</t>
        </is>
      </c>
      <c r="M828" t="inlineStr">
        <is>
          <t>1979</t>
        </is>
      </c>
      <c r="O828" t="inlineStr">
        <is>
          <t>eng</t>
        </is>
      </c>
      <c r="P828" t="inlineStr">
        <is>
          <t>cau</t>
        </is>
      </c>
      <c r="R828" t="inlineStr">
        <is>
          <t xml:space="preserve">BF </t>
        </is>
      </c>
      <c r="S828" t="n">
        <v>5</v>
      </c>
      <c r="T828" t="n">
        <v>5</v>
      </c>
      <c r="U828" t="inlineStr">
        <is>
          <t>2007-12-07</t>
        </is>
      </c>
      <c r="V828" t="inlineStr">
        <is>
          <t>2007-12-07</t>
        </is>
      </c>
      <c r="W828" t="inlineStr">
        <is>
          <t>1990-02-12</t>
        </is>
      </c>
      <c r="X828" t="inlineStr">
        <is>
          <t>1990-02-12</t>
        </is>
      </c>
      <c r="Y828" t="n">
        <v>199</v>
      </c>
      <c r="Z828" t="n">
        <v>154</v>
      </c>
      <c r="AA828" t="n">
        <v>653</v>
      </c>
      <c r="AB828" t="n">
        <v>1</v>
      </c>
      <c r="AC828" t="n">
        <v>5</v>
      </c>
      <c r="AD828" t="n">
        <v>7</v>
      </c>
      <c r="AE828" t="n">
        <v>24</v>
      </c>
      <c r="AF828" t="n">
        <v>3</v>
      </c>
      <c r="AG828" t="n">
        <v>12</v>
      </c>
      <c r="AH828" t="n">
        <v>2</v>
      </c>
      <c r="AI828" t="n">
        <v>4</v>
      </c>
      <c r="AJ828" t="n">
        <v>5</v>
      </c>
      <c r="AK828" t="n">
        <v>12</v>
      </c>
      <c r="AL828" t="n">
        <v>0</v>
      </c>
      <c r="AM828" t="n">
        <v>3</v>
      </c>
      <c r="AN828" t="n">
        <v>0</v>
      </c>
      <c r="AO828" t="n">
        <v>0</v>
      </c>
      <c r="AP828" t="inlineStr">
        <is>
          <t>No</t>
        </is>
      </c>
      <c r="AQ828" t="inlineStr">
        <is>
          <t>No</t>
        </is>
      </c>
      <c r="AS828">
        <f>HYPERLINK("https://creighton-primo.hosted.exlibrisgroup.com/primo-explore/search?tab=default_tab&amp;search_scope=EVERYTHING&amp;vid=01CRU&amp;lang=en_US&amp;offset=0&amp;query=any,contains,991004757849702656","Catalog Record")</f>
        <v/>
      </c>
      <c r="AT828">
        <f>HYPERLINK("http://www.worldcat.org/oclc/4982939","WorldCat Record")</f>
        <v/>
      </c>
      <c r="AU828" t="inlineStr">
        <is>
          <t>4916883450:eng</t>
        </is>
      </c>
      <c r="AV828" t="inlineStr">
        <is>
          <t>4982939</t>
        </is>
      </c>
      <c r="AW828" t="inlineStr">
        <is>
          <t>991004757849702656</t>
        </is>
      </c>
      <c r="AX828" t="inlineStr">
        <is>
          <t>991004757849702656</t>
        </is>
      </c>
      <c r="AY828" t="inlineStr">
        <is>
          <t>2265722700002656</t>
        </is>
      </c>
      <c r="AZ828" t="inlineStr">
        <is>
          <t>BOOK</t>
        </is>
      </c>
      <c r="BB828" t="inlineStr">
        <is>
          <t>9780818503429</t>
        </is>
      </c>
      <c r="BC828" t="inlineStr">
        <is>
          <t>32285000009760</t>
        </is>
      </c>
      <c r="BD828" t="inlineStr">
        <is>
          <t>893807437</t>
        </is>
      </c>
    </row>
    <row r="829">
      <c r="A829" t="inlineStr">
        <is>
          <t>No</t>
        </is>
      </c>
      <c r="B829" t="inlineStr">
        <is>
          <t>BF637.I5 G6 1987</t>
        </is>
      </c>
      <c r="C829" t="inlineStr">
        <is>
          <t>0                      BF 0637000I  5                  G  6           1987</t>
        </is>
      </c>
      <c r="D829" t="inlineStr">
        <is>
          <t>Interviewing : strategy, techniques, and tactics / Raymond L. Gorden.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Gorden, Raymond L., 1919-</t>
        </is>
      </c>
      <c r="L829" t="inlineStr">
        <is>
          <t>Chicago, Ill. : Dorsey Press, c1987.</t>
        </is>
      </c>
      <c r="M829" t="inlineStr">
        <is>
          <t>1987</t>
        </is>
      </c>
      <c r="N829" t="inlineStr">
        <is>
          <t>4th ed.</t>
        </is>
      </c>
      <c r="O829" t="inlineStr">
        <is>
          <t>eng</t>
        </is>
      </c>
      <c r="P829" t="inlineStr">
        <is>
          <t>ilu</t>
        </is>
      </c>
      <c r="R829" t="inlineStr">
        <is>
          <t xml:space="preserve">BF </t>
        </is>
      </c>
      <c r="S829" t="n">
        <v>7</v>
      </c>
      <c r="T829" t="n">
        <v>7</v>
      </c>
      <c r="U829" t="inlineStr">
        <is>
          <t>2001-04-09</t>
        </is>
      </c>
      <c r="V829" t="inlineStr">
        <is>
          <t>2001-04-09</t>
        </is>
      </c>
      <c r="W829" t="inlineStr">
        <is>
          <t>1990-06-01</t>
        </is>
      </c>
      <c r="X829" t="inlineStr">
        <is>
          <t>1990-06-01</t>
        </is>
      </c>
      <c r="Y829" t="n">
        <v>259</v>
      </c>
      <c r="Z829" t="n">
        <v>207</v>
      </c>
      <c r="AA829" t="n">
        <v>901</v>
      </c>
      <c r="AB829" t="n">
        <v>1</v>
      </c>
      <c r="AC829" t="n">
        <v>6</v>
      </c>
      <c r="AD829" t="n">
        <v>4</v>
      </c>
      <c r="AE829" t="n">
        <v>37</v>
      </c>
      <c r="AF829" t="n">
        <v>2</v>
      </c>
      <c r="AG829" t="n">
        <v>17</v>
      </c>
      <c r="AH829" t="n">
        <v>0</v>
      </c>
      <c r="AI829" t="n">
        <v>7</v>
      </c>
      <c r="AJ829" t="n">
        <v>3</v>
      </c>
      <c r="AK829" t="n">
        <v>15</v>
      </c>
      <c r="AL829" t="n">
        <v>0</v>
      </c>
      <c r="AM829" t="n">
        <v>5</v>
      </c>
      <c r="AN829" t="n">
        <v>0</v>
      </c>
      <c r="AO829" t="n">
        <v>2</v>
      </c>
      <c r="AP829" t="inlineStr">
        <is>
          <t>No</t>
        </is>
      </c>
      <c r="AQ829" t="inlineStr">
        <is>
          <t>Yes</t>
        </is>
      </c>
      <c r="AR829">
        <f>HYPERLINK("http://catalog.hathitrust.org/Record/000852407","HathiTrust Record")</f>
        <v/>
      </c>
      <c r="AS829">
        <f>HYPERLINK("https://creighton-primo.hosted.exlibrisgroup.com/primo-explore/search?tab=default_tab&amp;search_scope=EVERYTHING&amp;vid=01CRU&amp;lang=en_US&amp;offset=0&amp;query=any,contains,991000966769702656","Catalog Record")</f>
        <v/>
      </c>
      <c r="AT829">
        <f>HYPERLINK("http://www.worldcat.org/oclc/18832988","WorldCat Record")</f>
        <v/>
      </c>
      <c r="AU829" t="inlineStr">
        <is>
          <t>1136108:eng</t>
        </is>
      </c>
      <c r="AV829" t="inlineStr">
        <is>
          <t>18832988</t>
        </is>
      </c>
      <c r="AW829" t="inlineStr">
        <is>
          <t>991000966769702656</t>
        </is>
      </c>
      <c r="AX829" t="inlineStr">
        <is>
          <t>991000966769702656</t>
        </is>
      </c>
      <c r="AY829" t="inlineStr">
        <is>
          <t>2260340990002656</t>
        </is>
      </c>
      <c r="AZ829" t="inlineStr">
        <is>
          <t>BOOK</t>
        </is>
      </c>
      <c r="BC829" t="inlineStr">
        <is>
          <t>32285000181213</t>
        </is>
      </c>
      <c r="BD829" t="inlineStr">
        <is>
          <t>893791040</t>
        </is>
      </c>
    </row>
    <row r="830">
      <c r="A830" t="inlineStr">
        <is>
          <t>No</t>
        </is>
      </c>
      <c r="B830" t="inlineStr">
        <is>
          <t>BF637.I5 M37</t>
        </is>
      </c>
      <c r="C830" t="inlineStr">
        <is>
          <t>0                      BF 0637000I  5                  M  37</t>
        </is>
      </c>
      <c r="D830" t="inlineStr">
        <is>
          <t>The interview; research on its anatomy and structure [by] Joseph D. Matarazzo [and] Arthur N. Wiens.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No</t>
        </is>
      </c>
      <c r="J830" t="inlineStr">
        <is>
          <t>0</t>
        </is>
      </c>
      <c r="K830" t="inlineStr">
        <is>
          <t>Matarazzo, Joseph D.</t>
        </is>
      </c>
      <c r="L830" t="inlineStr">
        <is>
          <t>Chicago, Aldine-Atherton [1972]</t>
        </is>
      </c>
      <c r="M830" t="inlineStr">
        <is>
          <t>1972</t>
        </is>
      </c>
      <c r="O830" t="inlineStr">
        <is>
          <t>eng</t>
        </is>
      </c>
      <c r="P830" t="inlineStr">
        <is>
          <t>ilu</t>
        </is>
      </c>
      <c r="Q830" t="inlineStr">
        <is>
          <t>Modern applications of psychology</t>
        </is>
      </c>
      <c r="R830" t="inlineStr">
        <is>
          <t xml:space="preserve">BF </t>
        </is>
      </c>
      <c r="S830" t="n">
        <v>1</v>
      </c>
      <c r="T830" t="n">
        <v>1</v>
      </c>
      <c r="U830" t="inlineStr">
        <is>
          <t>2001-04-09</t>
        </is>
      </c>
      <c r="V830" t="inlineStr">
        <is>
          <t>2001-04-09</t>
        </is>
      </c>
      <c r="W830" t="inlineStr">
        <is>
          <t>1996-08-01</t>
        </is>
      </c>
      <c r="X830" t="inlineStr">
        <is>
          <t>1996-08-01</t>
        </is>
      </c>
      <c r="Y830" t="n">
        <v>399</v>
      </c>
      <c r="Z830" t="n">
        <v>300</v>
      </c>
      <c r="AA830" t="n">
        <v>342</v>
      </c>
      <c r="AB830" t="n">
        <v>2</v>
      </c>
      <c r="AC830" t="n">
        <v>2</v>
      </c>
      <c r="AD830" t="n">
        <v>10</v>
      </c>
      <c r="AE830" t="n">
        <v>12</v>
      </c>
      <c r="AF830" t="n">
        <v>2</v>
      </c>
      <c r="AG830" t="n">
        <v>2</v>
      </c>
      <c r="AH830" t="n">
        <v>3</v>
      </c>
      <c r="AI830" t="n">
        <v>4</v>
      </c>
      <c r="AJ830" t="n">
        <v>6</v>
      </c>
      <c r="AK830" t="n">
        <v>7</v>
      </c>
      <c r="AL830" t="n">
        <v>1</v>
      </c>
      <c r="AM830" t="n">
        <v>1</v>
      </c>
      <c r="AN830" t="n">
        <v>0</v>
      </c>
      <c r="AO830" t="n">
        <v>0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HYPERLINK("http://catalog.hathitrust.org/Record/000005533","HathiTrust Record")</f>
        <v/>
      </c>
      <c r="AS830">
        <f>HYPERLINK("https://creighton-primo.hosted.exlibrisgroup.com/primo-explore/search?tab=default_tab&amp;search_scope=EVERYTHING&amp;vid=01CRU&amp;lang=en_US&amp;offset=0&amp;query=any,contains,991002666829702656","Catalog Record")</f>
        <v/>
      </c>
      <c r="AT830">
        <f>HYPERLINK("http://www.worldcat.org/oclc/393500","WorldCat Record")</f>
        <v/>
      </c>
      <c r="AU830" t="inlineStr">
        <is>
          <t>1532464:eng</t>
        </is>
      </c>
      <c r="AV830" t="inlineStr">
        <is>
          <t>393500</t>
        </is>
      </c>
      <c r="AW830" t="inlineStr">
        <is>
          <t>991002666829702656</t>
        </is>
      </c>
      <c r="AX830" t="inlineStr">
        <is>
          <t>991002666829702656</t>
        </is>
      </c>
      <c r="AY830" t="inlineStr">
        <is>
          <t>2259778360002656</t>
        </is>
      </c>
      <c r="AZ830" t="inlineStr">
        <is>
          <t>BOOK</t>
        </is>
      </c>
      <c r="BB830" t="inlineStr">
        <is>
          <t>9780202260686</t>
        </is>
      </c>
      <c r="BC830" t="inlineStr">
        <is>
          <t>32285002252244</t>
        </is>
      </c>
      <c r="BD830" t="inlineStr">
        <is>
          <t>893245470</t>
        </is>
      </c>
    </row>
    <row r="831">
      <c r="A831" t="inlineStr">
        <is>
          <t>No</t>
        </is>
      </c>
      <c r="B831" t="inlineStr">
        <is>
          <t>BF637.I5 S75 1982</t>
        </is>
      </c>
      <c r="C831" t="inlineStr">
        <is>
          <t>0                      BF 0637000I  5                  S  75          1982</t>
        </is>
      </c>
      <c r="D831" t="inlineStr">
        <is>
          <t>Interviewing : principles and practices / Charles J. Stewart, William B. Cash, Jr.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Stewart, Charles J.</t>
        </is>
      </c>
      <c r="L831" t="inlineStr">
        <is>
          <t>Dubuque, Iowa : W.C. Brown Co., c1982, 1983 printing.</t>
        </is>
      </c>
      <c r="M831" t="inlineStr">
        <is>
          <t>1982</t>
        </is>
      </c>
      <c r="N831" t="inlineStr">
        <is>
          <t>3rd ed.</t>
        </is>
      </c>
      <c r="O831" t="inlineStr">
        <is>
          <t>eng</t>
        </is>
      </c>
      <c r="P831" t="inlineStr">
        <is>
          <t>iau</t>
        </is>
      </c>
      <c r="R831" t="inlineStr">
        <is>
          <t xml:space="preserve">BF </t>
        </is>
      </c>
      <c r="S831" t="n">
        <v>11</v>
      </c>
      <c r="T831" t="n">
        <v>11</v>
      </c>
      <c r="U831" t="inlineStr">
        <is>
          <t>1999-09-16</t>
        </is>
      </c>
      <c r="V831" t="inlineStr">
        <is>
          <t>1999-09-16</t>
        </is>
      </c>
      <c r="W831" t="inlineStr">
        <is>
          <t>1990-04-30</t>
        </is>
      </c>
      <c r="X831" t="inlineStr">
        <is>
          <t>1990-04-30</t>
        </is>
      </c>
      <c r="Y831" t="n">
        <v>214</v>
      </c>
      <c r="Z831" t="n">
        <v>180</v>
      </c>
      <c r="AA831" t="n">
        <v>932</v>
      </c>
      <c r="AB831" t="n">
        <v>2</v>
      </c>
      <c r="AC831" t="n">
        <v>9</v>
      </c>
      <c r="AD831" t="n">
        <v>6</v>
      </c>
      <c r="AE831" t="n">
        <v>34</v>
      </c>
      <c r="AF831" t="n">
        <v>2</v>
      </c>
      <c r="AG831" t="n">
        <v>13</v>
      </c>
      <c r="AH831" t="n">
        <v>1</v>
      </c>
      <c r="AI831" t="n">
        <v>6</v>
      </c>
      <c r="AJ831" t="n">
        <v>3</v>
      </c>
      <c r="AK831" t="n">
        <v>12</v>
      </c>
      <c r="AL831" t="n">
        <v>1</v>
      </c>
      <c r="AM831" t="n">
        <v>7</v>
      </c>
      <c r="AN831" t="n">
        <v>0</v>
      </c>
      <c r="AO831" t="n">
        <v>1</v>
      </c>
      <c r="AP831" t="inlineStr">
        <is>
          <t>No</t>
        </is>
      </c>
      <c r="AQ831" t="inlineStr">
        <is>
          <t>Yes</t>
        </is>
      </c>
      <c r="AR831">
        <f>HYPERLINK("http://catalog.hathitrust.org/Record/000113311","HathiTrust Record")</f>
        <v/>
      </c>
      <c r="AS831">
        <f>HYPERLINK("https://creighton-primo.hosted.exlibrisgroup.com/primo-explore/search?tab=default_tab&amp;search_scope=EVERYTHING&amp;vid=01CRU&amp;lang=en_US&amp;offset=0&amp;query=any,contains,991005210499702656","Catalog Record")</f>
        <v/>
      </c>
      <c r="AT831">
        <f>HYPERLINK("http://www.worldcat.org/oclc/8165421","WorldCat Record")</f>
        <v/>
      </c>
      <c r="AU831" t="inlineStr">
        <is>
          <t>871842:eng</t>
        </is>
      </c>
      <c r="AV831" t="inlineStr">
        <is>
          <t>8165421</t>
        </is>
      </c>
      <c r="AW831" t="inlineStr">
        <is>
          <t>991005210499702656</t>
        </is>
      </c>
      <c r="AX831" t="inlineStr">
        <is>
          <t>991005210499702656</t>
        </is>
      </c>
      <c r="AY831" t="inlineStr">
        <is>
          <t>2267462300002656</t>
        </is>
      </c>
      <c r="AZ831" t="inlineStr">
        <is>
          <t>BOOK</t>
        </is>
      </c>
      <c r="BB831" t="inlineStr">
        <is>
          <t>9780697041937</t>
        </is>
      </c>
      <c r="BC831" t="inlineStr">
        <is>
          <t>32285000127554</t>
        </is>
      </c>
      <c r="BD831" t="inlineStr">
        <is>
          <t>893443591</t>
        </is>
      </c>
    </row>
    <row r="832">
      <c r="A832" t="inlineStr">
        <is>
          <t>No</t>
        </is>
      </c>
      <c r="B832" t="inlineStr">
        <is>
          <t>BF637.L4 G55</t>
        </is>
      </c>
      <c r="C832" t="inlineStr">
        <is>
          <t>0                      BF 0637000L  4                  G  55</t>
        </is>
      </c>
      <c r="D832" t="inlineStr">
        <is>
          <t>Forces on leadership / by Michael C. Giammatteo and Dolores M. Giammatteo.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Giammatteo, Michael C.</t>
        </is>
      </c>
      <c r="L832" t="inlineStr">
        <is>
          <t>Reston, Va. : National Association of Secondary School Principals, 1981.</t>
        </is>
      </c>
      <c r="M832" t="inlineStr">
        <is>
          <t>1981</t>
        </is>
      </c>
      <c r="O832" t="inlineStr">
        <is>
          <t>eng</t>
        </is>
      </c>
      <c r="P832" t="inlineStr">
        <is>
          <t>vau</t>
        </is>
      </c>
      <c r="R832" t="inlineStr">
        <is>
          <t xml:space="preserve">BF </t>
        </is>
      </c>
      <c r="S832" t="n">
        <v>3</v>
      </c>
      <c r="T832" t="n">
        <v>3</v>
      </c>
      <c r="U832" t="inlineStr">
        <is>
          <t>2006-01-11</t>
        </is>
      </c>
      <c r="V832" t="inlineStr">
        <is>
          <t>2006-01-11</t>
        </is>
      </c>
      <c r="W832" t="inlineStr">
        <is>
          <t>1992-02-14</t>
        </is>
      </c>
      <c r="X832" t="inlineStr">
        <is>
          <t>1992-02-14</t>
        </is>
      </c>
      <c r="Y832" t="n">
        <v>432</v>
      </c>
      <c r="Z832" t="n">
        <v>384</v>
      </c>
      <c r="AA832" t="n">
        <v>387</v>
      </c>
      <c r="AB832" t="n">
        <v>7</v>
      </c>
      <c r="AC832" t="n">
        <v>7</v>
      </c>
      <c r="AD832" t="n">
        <v>17</v>
      </c>
      <c r="AE832" t="n">
        <v>17</v>
      </c>
      <c r="AF832" t="n">
        <v>7</v>
      </c>
      <c r="AG832" t="n">
        <v>7</v>
      </c>
      <c r="AH832" t="n">
        <v>1</v>
      </c>
      <c r="AI832" t="n">
        <v>1</v>
      </c>
      <c r="AJ832" t="n">
        <v>8</v>
      </c>
      <c r="AK832" t="n">
        <v>8</v>
      </c>
      <c r="AL832" t="n">
        <v>6</v>
      </c>
      <c r="AM832" t="n">
        <v>6</v>
      </c>
      <c r="AN832" t="n">
        <v>0</v>
      </c>
      <c r="AO832" t="n">
        <v>0</v>
      </c>
      <c r="AP832" t="inlineStr">
        <is>
          <t>No</t>
        </is>
      </c>
      <c r="AQ832" t="inlineStr">
        <is>
          <t>No</t>
        </is>
      </c>
      <c r="AS832">
        <f>HYPERLINK("https://creighton-primo.hosted.exlibrisgroup.com/primo-explore/search?tab=default_tab&amp;search_scope=EVERYTHING&amp;vid=01CRU&amp;lang=en_US&amp;offset=0&amp;query=any,contains,991005078289702656","Catalog Record")</f>
        <v/>
      </c>
      <c r="AT832">
        <f>HYPERLINK("http://www.worldcat.org/oclc/7157771","WorldCat Record")</f>
        <v/>
      </c>
      <c r="AU832" t="inlineStr">
        <is>
          <t>25526877:eng</t>
        </is>
      </c>
      <c r="AV832" t="inlineStr">
        <is>
          <t>7157771</t>
        </is>
      </c>
      <c r="AW832" t="inlineStr">
        <is>
          <t>991005078289702656</t>
        </is>
      </c>
      <c r="AX832" t="inlineStr">
        <is>
          <t>991005078289702656</t>
        </is>
      </c>
      <c r="AY832" t="inlineStr">
        <is>
          <t>2267620520002656</t>
        </is>
      </c>
      <c r="AZ832" t="inlineStr">
        <is>
          <t>BOOK</t>
        </is>
      </c>
      <c r="BB832" t="inlineStr">
        <is>
          <t>9780882101163</t>
        </is>
      </c>
      <c r="BC832" t="inlineStr">
        <is>
          <t>32285000959469</t>
        </is>
      </c>
      <c r="BD832" t="inlineStr">
        <is>
          <t>893443364</t>
        </is>
      </c>
    </row>
    <row r="833">
      <c r="A833" t="inlineStr">
        <is>
          <t>No</t>
        </is>
      </c>
      <c r="B833" t="inlineStr">
        <is>
          <t>BF637.L4 G63</t>
        </is>
      </c>
      <c r="C833" t="inlineStr">
        <is>
          <t>0                      BF 0637000L  4                  G  63</t>
        </is>
      </c>
      <c r="D833" t="inlineStr">
        <is>
          <t>Leader effectiveness training, L.E.T. : the no-lose way to release the productive potential of people / Thomas Gordon.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Gordon, Thomas, 1918-2002.</t>
        </is>
      </c>
      <c r="L833" t="inlineStr">
        <is>
          <t>[New York] : Wyden Books, c1977.</t>
        </is>
      </c>
      <c r="M833" t="inlineStr">
        <is>
          <t>1977</t>
        </is>
      </c>
      <c r="N833" t="inlineStr">
        <is>
          <t>1st ed.</t>
        </is>
      </c>
      <c r="O833" t="inlineStr">
        <is>
          <t>eng</t>
        </is>
      </c>
      <c r="P833" t="inlineStr">
        <is>
          <t>nyu</t>
        </is>
      </c>
      <c r="R833" t="inlineStr">
        <is>
          <t xml:space="preserve">BF </t>
        </is>
      </c>
      <c r="S833" t="n">
        <v>2</v>
      </c>
      <c r="T833" t="n">
        <v>2</v>
      </c>
      <c r="U833" t="inlineStr">
        <is>
          <t>2005-02-28</t>
        </is>
      </c>
      <c r="V833" t="inlineStr">
        <is>
          <t>2005-02-28</t>
        </is>
      </c>
      <c r="W833" t="inlineStr">
        <is>
          <t>1993-04-01</t>
        </is>
      </c>
      <c r="X833" t="inlineStr">
        <is>
          <t>1993-04-01</t>
        </is>
      </c>
      <c r="Y833" t="n">
        <v>969</v>
      </c>
      <c r="Z833" t="n">
        <v>894</v>
      </c>
      <c r="AA833" t="n">
        <v>1172</v>
      </c>
      <c r="AB833" t="n">
        <v>8</v>
      </c>
      <c r="AC833" t="n">
        <v>8</v>
      </c>
      <c r="AD833" t="n">
        <v>17</v>
      </c>
      <c r="AE833" t="n">
        <v>22</v>
      </c>
      <c r="AF833" t="n">
        <v>7</v>
      </c>
      <c r="AG833" t="n">
        <v>8</v>
      </c>
      <c r="AH833" t="n">
        <v>3</v>
      </c>
      <c r="AI833" t="n">
        <v>3</v>
      </c>
      <c r="AJ833" t="n">
        <v>5</v>
      </c>
      <c r="AK833" t="n">
        <v>9</v>
      </c>
      <c r="AL833" t="n">
        <v>3</v>
      </c>
      <c r="AM833" t="n">
        <v>3</v>
      </c>
      <c r="AN833" t="n">
        <v>1</v>
      </c>
      <c r="AO833" t="n">
        <v>1</v>
      </c>
      <c r="AP833" t="inlineStr">
        <is>
          <t>No</t>
        </is>
      </c>
      <c r="AQ833" t="inlineStr">
        <is>
          <t>No</t>
        </is>
      </c>
      <c r="AS833">
        <f>HYPERLINK("https://creighton-primo.hosted.exlibrisgroup.com/primo-explore/search?tab=default_tab&amp;search_scope=EVERYTHING&amp;vid=01CRU&amp;lang=en_US&amp;offset=0&amp;query=any,contains,991004400109702656","Catalog Record")</f>
        <v/>
      </c>
      <c r="AT833">
        <f>HYPERLINK("http://www.worldcat.org/oclc/3294647","WorldCat Record")</f>
        <v/>
      </c>
      <c r="AU833" t="inlineStr">
        <is>
          <t>3901037687:eng</t>
        </is>
      </c>
      <c r="AV833" t="inlineStr">
        <is>
          <t>3294647</t>
        </is>
      </c>
      <c r="AW833" t="inlineStr">
        <is>
          <t>991004400109702656</t>
        </is>
      </c>
      <c r="AX833" t="inlineStr">
        <is>
          <t>991004400109702656</t>
        </is>
      </c>
      <c r="AY833" t="inlineStr">
        <is>
          <t>2259532650002656</t>
        </is>
      </c>
      <c r="AZ833" t="inlineStr">
        <is>
          <t>BOOK</t>
        </is>
      </c>
      <c r="BB833" t="inlineStr">
        <is>
          <t>9780671229603</t>
        </is>
      </c>
      <c r="BC833" t="inlineStr">
        <is>
          <t>32285001598274</t>
        </is>
      </c>
      <c r="BD833" t="inlineStr">
        <is>
          <t>893253648</t>
        </is>
      </c>
    </row>
    <row r="834">
      <c r="A834" t="inlineStr">
        <is>
          <t>No</t>
        </is>
      </c>
      <c r="B834" t="inlineStr">
        <is>
          <t>BF637.L53 B73 1991</t>
        </is>
      </c>
      <c r="C834" t="inlineStr">
        <is>
          <t>0                      BF 0637000L  53                 B  73          1991</t>
        </is>
      </c>
      <c r="D834" t="inlineStr">
        <is>
          <t>How to cope with life transitions : the challenge of personal change / Lawrence M. Brammer.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Brammer, Lawrence M.</t>
        </is>
      </c>
      <c r="L834" t="inlineStr">
        <is>
          <t>New York : Hemisphere Pub. Corp., c1991.</t>
        </is>
      </c>
      <c r="M834" t="inlineStr">
        <is>
          <t>1991</t>
        </is>
      </c>
      <c r="O834" t="inlineStr">
        <is>
          <t>eng</t>
        </is>
      </c>
      <c r="P834" t="inlineStr">
        <is>
          <t>nyu</t>
        </is>
      </c>
      <c r="Q834" t="inlineStr">
        <is>
          <t>Series in death education, aging, and health care, 0275-3510</t>
        </is>
      </c>
      <c r="R834" t="inlineStr">
        <is>
          <t xml:space="preserve">BF </t>
        </is>
      </c>
      <c r="S834" t="n">
        <v>11</v>
      </c>
      <c r="T834" t="n">
        <v>11</v>
      </c>
      <c r="U834" t="inlineStr">
        <is>
          <t>2006-11-15</t>
        </is>
      </c>
      <c r="V834" t="inlineStr">
        <is>
          <t>2006-11-15</t>
        </is>
      </c>
      <c r="W834" t="inlineStr">
        <is>
          <t>1991-03-28</t>
        </is>
      </c>
      <c r="X834" t="inlineStr">
        <is>
          <t>1991-03-28</t>
        </is>
      </c>
      <c r="Y834" t="n">
        <v>281</v>
      </c>
      <c r="Z834" t="n">
        <v>223</v>
      </c>
      <c r="AA834" t="n">
        <v>231</v>
      </c>
      <c r="AB834" t="n">
        <v>4</v>
      </c>
      <c r="AC834" t="n">
        <v>4</v>
      </c>
      <c r="AD834" t="n">
        <v>12</v>
      </c>
      <c r="AE834" t="n">
        <v>12</v>
      </c>
      <c r="AF834" t="n">
        <v>4</v>
      </c>
      <c r="AG834" t="n">
        <v>4</v>
      </c>
      <c r="AH834" t="n">
        <v>2</v>
      </c>
      <c r="AI834" t="n">
        <v>2</v>
      </c>
      <c r="AJ834" t="n">
        <v>5</v>
      </c>
      <c r="AK834" t="n">
        <v>5</v>
      </c>
      <c r="AL834" t="n">
        <v>3</v>
      </c>
      <c r="AM834" t="n">
        <v>3</v>
      </c>
      <c r="AN834" t="n">
        <v>0</v>
      </c>
      <c r="AO834" t="n">
        <v>0</v>
      </c>
      <c r="AP834" t="inlineStr">
        <is>
          <t>No</t>
        </is>
      </c>
      <c r="AQ834" t="inlineStr">
        <is>
          <t>No</t>
        </is>
      </c>
      <c r="AS834">
        <f>HYPERLINK("https://creighton-primo.hosted.exlibrisgroup.com/primo-explore/search?tab=default_tab&amp;search_scope=EVERYTHING&amp;vid=01CRU&amp;lang=en_US&amp;offset=0&amp;query=any,contains,991001707119702656","Catalog Record")</f>
        <v/>
      </c>
      <c r="AT834">
        <f>HYPERLINK("http://www.worldcat.org/oclc/21564067","WorldCat Record")</f>
        <v/>
      </c>
      <c r="AU834" t="inlineStr">
        <is>
          <t>852682987:eng</t>
        </is>
      </c>
      <c r="AV834" t="inlineStr">
        <is>
          <t>21564067</t>
        </is>
      </c>
      <c r="AW834" t="inlineStr">
        <is>
          <t>991001707119702656</t>
        </is>
      </c>
      <c r="AX834" t="inlineStr">
        <is>
          <t>991001707119702656</t>
        </is>
      </c>
      <c r="AY834" t="inlineStr">
        <is>
          <t>2268039000002656</t>
        </is>
      </c>
      <c r="AZ834" t="inlineStr">
        <is>
          <t>BOOK</t>
        </is>
      </c>
      <c r="BB834" t="inlineStr">
        <is>
          <t>9780891169628</t>
        </is>
      </c>
      <c r="BC834" t="inlineStr">
        <is>
          <t>32285000513837</t>
        </is>
      </c>
      <c r="BD834" t="inlineStr">
        <is>
          <t>893866413</t>
        </is>
      </c>
    </row>
    <row r="835">
      <c r="A835" t="inlineStr">
        <is>
          <t>No</t>
        </is>
      </c>
      <c r="B835" t="inlineStr">
        <is>
          <t>BF637.N4 B35 1975</t>
        </is>
      </c>
      <c r="C835" t="inlineStr">
        <is>
          <t>0                      BF 0637000N  4                  B  35          1975</t>
        </is>
      </c>
      <c r="D835" t="inlineStr">
        <is>
          <t>Bargaining : formal theories of negotiation / edited and with contributions by Oran R. Young.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L835" t="inlineStr">
        <is>
          <t>Urbana : University of Illinois Press, [1975]</t>
        </is>
      </c>
      <c r="M835" t="inlineStr">
        <is>
          <t>1975</t>
        </is>
      </c>
      <c r="O835" t="inlineStr">
        <is>
          <t>eng</t>
        </is>
      </c>
      <c r="P835" t="inlineStr">
        <is>
          <t>ilu</t>
        </is>
      </c>
      <c r="R835" t="inlineStr">
        <is>
          <t xml:space="preserve">BF </t>
        </is>
      </c>
      <c r="S835" t="n">
        <v>8</v>
      </c>
      <c r="T835" t="n">
        <v>8</v>
      </c>
      <c r="U835" t="inlineStr">
        <is>
          <t>1997-10-27</t>
        </is>
      </c>
      <c r="V835" t="inlineStr">
        <is>
          <t>1997-10-27</t>
        </is>
      </c>
      <c r="W835" t="inlineStr">
        <is>
          <t>1990-09-06</t>
        </is>
      </c>
      <c r="X835" t="inlineStr">
        <is>
          <t>1990-09-06</t>
        </is>
      </c>
      <c r="Y835" t="n">
        <v>468</v>
      </c>
      <c r="Z835" t="n">
        <v>354</v>
      </c>
      <c r="AA835" t="n">
        <v>357</v>
      </c>
      <c r="AB835" t="n">
        <v>4</v>
      </c>
      <c r="AC835" t="n">
        <v>4</v>
      </c>
      <c r="AD835" t="n">
        <v>23</v>
      </c>
      <c r="AE835" t="n">
        <v>23</v>
      </c>
      <c r="AF835" t="n">
        <v>3</v>
      </c>
      <c r="AG835" t="n">
        <v>3</v>
      </c>
      <c r="AH835" t="n">
        <v>3</v>
      </c>
      <c r="AI835" t="n">
        <v>3</v>
      </c>
      <c r="AJ835" t="n">
        <v>12</v>
      </c>
      <c r="AK835" t="n">
        <v>12</v>
      </c>
      <c r="AL835" t="n">
        <v>2</v>
      </c>
      <c r="AM835" t="n">
        <v>2</v>
      </c>
      <c r="AN835" t="n">
        <v>7</v>
      </c>
      <c r="AO835" t="n">
        <v>7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HYPERLINK("http://catalog.hathitrust.org/Record/000019900","HathiTrust Record")</f>
        <v/>
      </c>
      <c r="AS835">
        <f>HYPERLINK("https://creighton-primo.hosted.exlibrisgroup.com/primo-explore/search?tab=default_tab&amp;search_scope=EVERYTHING&amp;vid=01CRU&amp;lang=en_US&amp;offset=0&amp;query=any,contains,991003625989702656","Catalog Record")</f>
        <v/>
      </c>
      <c r="AT835">
        <f>HYPERLINK("http://www.worldcat.org/oclc/1217234","WorldCat Record")</f>
        <v/>
      </c>
      <c r="AU835" t="inlineStr">
        <is>
          <t>889419305:eng</t>
        </is>
      </c>
      <c r="AV835" t="inlineStr">
        <is>
          <t>1217234</t>
        </is>
      </c>
      <c r="AW835" t="inlineStr">
        <is>
          <t>991003625989702656</t>
        </is>
      </c>
      <c r="AX835" t="inlineStr">
        <is>
          <t>991003625989702656</t>
        </is>
      </c>
      <c r="AY835" t="inlineStr">
        <is>
          <t>2272302320002656</t>
        </is>
      </c>
      <c r="AZ835" t="inlineStr">
        <is>
          <t>BOOK</t>
        </is>
      </c>
      <c r="BB835" t="inlineStr">
        <is>
          <t>9780252002731</t>
        </is>
      </c>
      <c r="BC835" t="inlineStr">
        <is>
          <t>32285000276765</t>
        </is>
      </c>
      <c r="BD835" t="inlineStr">
        <is>
          <t>893893922</t>
        </is>
      </c>
    </row>
    <row r="836">
      <c r="A836" t="inlineStr">
        <is>
          <t>No</t>
        </is>
      </c>
      <c r="B836" t="inlineStr">
        <is>
          <t>BF637.N4 C55 1980</t>
        </is>
      </c>
      <c r="C836" t="inlineStr">
        <is>
          <t>0                      BF 0637000N  4                  C  55          1980</t>
        </is>
      </c>
      <c r="D836" t="inlineStr">
        <is>
          <t>You can negotiate anything / Herb Cohen.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K836" t="inlineStr">
        <is>
          <t>Cohen, Herb.</t>
        </is>
      </c>
      <c r="L836" t="inlineStr">
        <is>
          <t>Secaucus, N.J. : L. Stuart, c1980.</t>
        </is>
      </c>
      <c r="M836" t="inlineStr">
        <is>
          <t>1980</t>
        </is>
      </c>
      <c r="N836" t="inlineStr">
        <is>
          <t>1st ed.</t>
        </is>
      </c>
      <c r="O836" t="inlineStr">
        <is>
          <t>eng</t>
        </is>
      </c>
      <c r="P836" t="inlineStr">
        <is>
          <t>nju</t>
        </is>
      </c>
      <c r="R836" t="inlineStr">
        <is>
          <t xml:space="preserve">BF </t>
        </is>
      </c>
      <c r="S836" t="n">
        <v>2</v>
      </c>
      <c r="T836" t="n">
        <v>2</v>
      </c>
      <c r="U836" t="inlineStr">
        <is>
          <t>2009-01-27</t>
        </is>
      </c>
      <c r="V836" t="inlineStr">
        <is>
          <t>2009-01-27</t>
        </is>
      </c>
      <c r="W836" t="inlineStr">
        <is>
          <t>1993-03-25</t>
        </is>
      </c>
      <c r="X836" t="inlineStr">
        <is>
          <t>1993-03-25</t>
        </is>
      </c>
      <c r="Y836" t="n">
        <v>1102</v>
      </c>
      <c r="Z836" t="n">
        <v>1041</v>
      </c>
      <c r="AA836" t="n">
        <v>1381</v>
      </c>
      <c r="AB836" t="n">
        <v>6</v>
      </c>
      <c r="AC836" t="n">
        <v>7</v>
      </c>
      <c r="AD836" t="n">
        <v>22</v>
      </c>
      <c r="AE836" t="n">
        <v>28</v>
      </c>
      <c r="AF836" t="n">
        <v>3</v>
      </c>
      <c r="AG836" t="n">
        <v>5</v>
      </c>
      <c r="AH836" t="n">
        <v>5</v>
      </c>
      <c r="AI836" t="n">
        <v>6</v>
      </c>
      <c r="AJ836" t="n">
        <v>8</v>
      </c>
      <c r="AK836" t="n">
        <v>10</v>
      </c>
      <c r="AL836" t="n">
        <v>2</v>
      </c>
      <c r="AM836" t="n">
        <v>2</v>
      </c>
      <c r="AN836" t="n">
        <v>8</v>
      </c>
      <c r="AO836" t="n">
        <v>10</v>
      </c>
      <c r="AP836" t="inlineStr">
        <is>
          <t>No</t>
        </is>
      </c>
      <c r="AQ836" t="inlineStr">
        <is>
          <t>Yes</t>
        </is>
      </c>
      <c r="AR836">
        <f>HYPERLINK("http://catalog.hathitrust.org/Record/000926507","HathiTrust Record")</f>
        <v/>
      </c>
      <c r="AS836">
        <f>HYPERLINK("https://creighton-primo.hosted.exlibrisgroup.com/primo-explore/search?tab=default_tab&amp;search_scope=EVERYTHING&amp;vid=01CRU&amp;lang=en_US&amp;offset=0&amp;query=any,contains,991005040229702656","Catalog Record")</f>
        <v/>
      </c>
      <c r="AT836">
        <f>HYPERLINK("http://www.worldcat.org/oclc/6789870","WorldCat Record")</f>
        <v/>
      </c>
      <c r="AU836" t="inlineStr">
        <is>
          <t>4915256192:eng</t>
        </is>
      </c>
      <c r="AV836" t="inlineStr">
        <is>
          <t>6789870</t>
        </is>
      </c>
      <c r="AW836" t="inlineStr">
        <is>
          <t>991005040229702656</t>
        </is>
      </c>
      <c r="AX836" t="inlineStr">
        <is>
          <t>991005040229702656</t>
        </is>
      </c>
      <c r="AY836" t="inlineStr">
        <is>
          <t>2263831720002656</t>
        </is>
      </c>
      <c r="AZ836" t="inlineStr">
        <is>
          <t>BOOK</t>
        </is>
      </c>
      <c r="BB836" t="inlineStr">
        <is>
          <t>9780818403057</t>
        </is>
      </c>
      <c r="BC836" t="inlineStr">
        <is>
          <t>32285001591501</t>
        </is>
      </c>
      <c r="BD836" t="inlineStr">
        <is>
          <t>893902019</t>
        </is>
      </c>
    </row>
    <row r="837">
      <c r="A837" t="inlineStr">
        <is>
          <t>No</t>
        </is>
      </c>
      <c r="B837" t="inlineStr">
        <is>
          <t>BF637.N4 F58 1988</t>
        </is>
      </c>
      <c r="C837" t="inlineStr">
        <is>
          <t>0                      BF 0637000N  4                  F  58          1988</t>
        </is>
      </c>
      <c r="D837" t="inlineStr">
        <is>
          <t>Getting together : building a relationship that gets to yes / by Roger Fisher and Scott Brown.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Yes</t>
        </is>
      </c>
      <c r="J837" t="inlineStr">
        <is>
          <t>0</t>
        </is>
      </c>
      <c r="K837" t="inlineStr">
        <is>
          <t>Fisher, Roger, 1922-2012.</t>
        </is>
      </c>
      <c r="L837" t="inlineStr">
        <is>
          <t>Boston : Houghton Mifflin, 1988.</t>
        </is>
      </c>
      <c r="M837" t="inlineStr">
        <is>
          <t>1988</t>
        </is>
      </c>
      <c r="O837" t="inlineStr">
        <is>
          <t>eng</t>
        </is>
      </c>
      <c r="P837" t="inlineStr">
        <is>
          <t>mau</t>
        </is>
      </c>
      <c r="R837" t="inlineStr">
        <is>
          <t xml:space="preserve">BF </t>
        </is>
      </c>
      <c r="S837" t="n">
        <v>12</v>
      </c>
      <c r="T837" t="n">
        <v>12</v>
      </c>
      <c r="U837" t="inlineStr">
        <is>
          <t>2010-12-08</t>
        </is>
      </c>
      <c r="V837" t="inlineStr">
        <is>
          <t>2010-12-08</t>
        </is>
      </c>
      <c r="W837" t="inlineStr">
        <is>
          <t>1991-11-18</t>
        </is>
      </c>
      <c r="X837" t="inlineStr">
        <is>
          <t>1991-11-18</t>
        </is>
      </c>
      <c r="Y837" t="n">
        <v>741</v>
      </c>
      <c r="Z837" t="n">
        <v>642</v>
      </c>
      <c r="AA837" t="n">
        <v>1061</v>
      </c>
      <c r="AB837" t="n">
        <v>7</v>
      </c>
      <c r="AC837" t="n">
        <v>8</v>
      </c>
      <c r="AD837" t="n">
        <v>20</v>
      </c>
      <c r="AE837" t="n">
        <v>33</v>
      </c>
      <c r="AF837" t="n">
        <v>5</v>
      </c>
      <c r="AG837" t="n">
        <v>10</v>
      </c>
      <c r="AH837" t="n">
        <v>3</v>
      </c>
      <c r="AI837" t="n">
        <v>5</v>
      </c>
      <c r="AJ837" t="n">
        <v>6</v>
      </c>
      <c r="AK837" t="n">
        <v>9</v>
      </c>
      <c r="AL837" t="n">
        <v>4</v>
      </c>
      <c r="AM837" t="n">
        <v>5</v>
      </c>
      <c r="AN837" t="n">
        <v>4</v>
      </c>
      <c r="AO837" t="n">
        <v>8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HYPERLINK("http://catalog.hathitrust.org/Record/009921363","HathiTrust Record")</f>
        <v/>
      </c>
      <c r="AS837">
        <f>HYPERLINK("https://creighton-primo.hosted.exlibrisgroup.com/primo-explore/search?tab=default_tab&amp;search_scope=EVERYTHING&amp;vid=01CRU&amp;lang=en_US&amp;offset=0&amp;query=any,contains,991001237299702656","Catalog Record")</f>
        <v/>
      </c>
      <c r="AT837">
        <f>HYPERLINK("http://www.worldcat.org/oclc/17552009","WorldCat Record")</f>
        <v/>
      </c>
      <c r="AU837" t="inlineStr">
        <is>
          <t>1862736224:eng</t>
        </is>
      </c>
      <c r="AV837" t="inlineStr">
        <is>
          <t>17552009</t>
        </is>
      </c>
      <c r="AW837" t="inlineStr">
        <is>
          <t>991001237299702656</t>
        </is>
      </c>
      <c r="AX837" t="inlineStr">
        <is>
          <t>991001237299702656</t>
        </is>
      </c>
      <c r="AY837" t="inlineStr">
        <is>
          <t>2263547380002656</t>
        </is>
      </c>
      <c r="AZ837" t="inlineStr">
        <is>
          <t>BOOK</t>
        </is>
      </c>
      <c r="BB837" t="inlineStr">
        <is>
          <t>9780395470992</t>
        </is>
      </c>
      <c r="BC837" t="inlineStr">
        <is>
          <t>32285000816560</t>
        </is>
      </c>
      <c r="BD837" t="inlineStr">
        <is>
          <t>893791299</t>
        </is>
      </c>
    </row>
    <row r="838">
      <c r="A838" t="inlineStr">
        <is>
          <t>No</t>
        </is>
      </c>
      <c r="B838" t="inlineStr">
        <is>
          <t>BF637.N4 I45</t>
        </is>
      </c>
      <c r="C838" t="inlineStr">
        <is>
          <t>0                      BF 0637000N  4                  I  45</t>
        </is>
      </c>
      <c r="D838" t="inlineStr">
        <is>
          <t>Power negotiating : strategies for winning in life and business / John Ilich.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Ilich, John, 1933-</t>
        </is>
      </c>
      <c r="L838" t="inlineStr">
        <is>
          <t>Reading, Mass. : Addison-Wesley Pub. Co., c1980.</t>
        </is>
      </c>
      <c r="M838" t="inlineStr">
        <is>
          <t>1980</t>
        </is>
      </c>
      <c r="O838" t="inlineStr">
        <is>
          <t>eng</t>
        </is>
      </c>
      <c r="P838" t="inlineStr">
        <is>
          <t>mau</t>
        </is>
      </c>
      <c r="R838" t="inlineStr">
        <is>
          <t xml:space="preserve">BF </t>
        </is>
      </c>
      <c r="S838" t="n">
        <v>7</v>
      </c>
      <c r="T838" t="n">
        <v>7</v>
      </c>
      <c r="U838" t="inlineStr">
        <is>
          <t>2007-03-10</t>
        </is>
      </c>
      <c r="V838" t="inlineStr">
        <is>
          <t>2007-03-10</t>
        </is>
      </c>
      <c r="W838" t="inlineStr">
        <is>
          <t>1993-04-01</t>
        </is>
      </c>
      <c r="X838" t="inlineStr">
        <is>
          <t>1993-04-01</t>
        </is>
      </c>
      <c r="Y838" t="n">
        <v>175</v>
      </c>
      <c r="Z838" t="n">
        <v>133</v>
      </c>
      <c r="AA838" t="n">
        <v>140</v>
      </c>
      <c r="AB838" t="n">
        <v>4</v>
      </c>
      <c r="AC838" t="n">
        <v>4</v>
      </c>
      <c r="AD838" t="n">
        <v>9</v>
      </c>
      <c r="AE838" t="n">
        <v>9</v>
      </c>
      <c r="AF838" t="n">
        <v>3</v>
      </c>
      <c r="AG838" t="n">
        <v>3</v>
      </c>
      <c r="AH838" t="n">
        <v>2</v>
      </c>
      <c r="AI838" t="n">
        <v>2</v>
      </c>
      <c r="AJ838" t="n">
        <v>3</v>
      </c>
      <c r="AK838" t="n">
        <v>3</v>
      </c>
      <c r="AL838" t="n">
        <v>2</v>
      </c>
      <c r="AM838" t="n">
        <v>2</v>
      </c>
      <c r="AN838" t="n">
        <v>2</v>
      </c>
      <c r="AO838" t="n">
        <v>2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HYPERLINK("https://creighton-primo.hosted.exlibrisgroup.com/primo-explore/search?tab=default_tab&amp;search_scope=EVERYTHING&amp;vid=01CRU&amp;lang=en_US&amp;offset=0&amp;query=any,contains,991004745839702656","Catalog Record")</f>
        <v/>
      </c>
      <c r="AT838">
        <f>HYPERLINK("http://www.worldcat.org/oclc/4907993","WorldCat Record")</f>
        <v/>
      </c>
      <c r="AU838" t="inlineStr">
        <is>
          <t>4495040339:eng</t>
        </is>
      </c>
      <c r="AV838" t="inlineStr">
        <is>
          <t>4907993</t>
        </is>
      </c>
      <c r="AW838" t="inlineStr">
        <is>
          <t>991004745839702656</t>
        </is>
      </c>
      <c r="AX838" t="inlineStr">
        <is>
          <t>991004745839702656</t>
        </is>
      </c>
      <c r="AY838" t="inlineStr">
        <is>
          <t>2258760630002656</t>
        </is>
      </c>
      <c r="AZ838" t="inlineStr">
        <is>
          <t>BOOK</t>
        </is>
      </c>
      <c r="BB838" t="inlineStr">
        <is>
          <t>9780201031492</t>
        </is>
      </c>
      <c r="BC838" t="inlineStr">
        <is>
          <t>32285001598316</t>
        </is>
      </c>
      <c r="BD838" t="inlineStr">
        <is>
          <t>893424144</t>
        </is>
      </c>
    </row>
    <row r="839">
      <c r="A839" t="inlineStr">
        <is>
          <t>No</t>
        </is>
      </c>
      <c r="B839" t="inlineStr">
        <is>
          <t>BF637.N4 L43 1996</t>
        </is>
      </c>
      <c r="C839" t="inlineStr">
        <is>
          <t>0                      BF 0637000N  4                  L  43          1996</t>
        </is>
      </c>
      <c r="D839" t="inlineStr">
        <is>
          <t>The art of bargaining / Richard Ned Lebow.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Lebow, Richard Ned.</t>
        </is>
      </c>
      <c r="L839" t="inlineStr">
        <is>
          <t>Baltimore : Johns Hopkins University Press, 1996.</t>
        </is>
      </c>
      <c r="M839" t="inlineStr">
        <is>
          <t>1996</t>
        </is>
      </c>
      <c r="O839" t="inlineStr">
        <is>
          <t>eng</t>
        </is>
      </c>
      <c r="P839" t="inlineStr">
        <is>
          <t>mdu</t>
        </is>
      </c>
      <c r="R839" t="inlineStr">
        <is>
          <t xml:space="preserve">BF </t>
        </is>
      </c>
      <c r="S839" t="n">
        <v>3</v>
      </c>
      <c r="T839" t="n">
        <v>3</v>
      </c>
      <c r="U839" t="inlineStr">
        <is>
          <t>1998-01-09</t>
        </is>
      </c>
      <c r="V839" t="inlineStr">
        <is>
          <t>1998-01-09</t>
        </is>
      </c>
      <c r="W839" t="inlineStr">
        <is>
          <t>1996-06-17</t>
        </is>
      </c>
      <c r="X839" t="inlineStr">
        <is>
          <t>1996-06-17</t>
        </is>
      </c>
      <c r="Y839" t="n">
        <v>440</v>
      </c>
      <c r="Z839" t="n">
        <v>365</v>
      </c>
      <c r="AA839" t="n">
        <v>367</v>
      </c>
      <c r="AB839" t="n">
        <v>2</v>
      </c>
      <c r="AC839" t="n">
        <v>2</v>
      </c>
      <c r="AD839" t="n">
        <v>24</v>
      </c>
      <c r="AE839" t="n">
        <v>24</v>
      </c>
      <c r="AF839" t="n">
        <v>5</v>
      </c>
      <c r="AG839" t="n">
        <v>5</v>
      </c>
      <c r="AH839" t="n">
        <v>6</v>
      </c>
      <c r="AI839" t="n">
        <v>6</v>
      </c>
      <c r="AJ839" t="n">
        <v>10</v>
      </c>
      <c r="AK839" t="n">
        <v>10</v>
      </c>
      <c r="AL839" t="n">
        <v>1</v>
      </c>
      <c r="AM839" t="n">
        <v>1</v>
      </c>
      <c r="AN839" t="n">
        <v>7</v>
      </c>
      <c r="AO839" t="n">
        <v>7</v>
      </c>
      <c r="AP839" t="inlineStr">
        <is>
          <t>No</t>
        </is>
      </c>
      <c r="AQ839" t="inlineStr">
        <is>
          <t>Yes</t>
        </is>
      </c>
      <c r="AR839">
        <f>HYPERLINK("http://catalog.hathitrust.org/Record/003048763","HathiTrust Record")</f>
        <v/>
      </c>
      <c r="AS839">
        <f>HYPERLINK("https://creighton-primo.hosted.exlibrisgroup.com/primo-explore/search?tab=default_tab&amp;search_scope=EVERYTHING&amp;vid=01CRU&amp;lang=en_US&amp;offset=0&amp;query=any,contains,991002523079702656","Catalog Record")</f>
        <v/>
      </c>
      <c r="AT839">
        <f>HYPERLINK("http://www.worldcat.org/oclc/32819588","WorldCat Record")</f>
        <v/>
      </c>
      <c r="AU839" t="inlineStr">
        <is>
          <t>36705400:eng</t>
        </is>
      </c>
      <c r="AV839" t="inlineStr">
        <is>
          <t>32819588</t>
        </is>
      </c>
      <c r="AW839" t="inlineStr">
        <is>
          <t>991002523079702656</t>
        </is>
      </c>
      <c r="AX839" t="inlineStr">
        <is>
          <t>991002523079702656</t>
        </is>
      </c>
      <c r="AY839" t="inlineStr">
        <is>
          <t>2271406980002656</t>
        </is>
      </c>
      <c r="AZ839" t="inlineStr">
        <is>
          <t>BOOK</t>
        </is>
      </c>
      <c r="BB839" t="inlineStr">
        <is>
          <t>9780801851988</t>
        </is>
      </c>
      <c r="BC839" t="inlineStr">
        <is>
          <t>32285002193265</t>
        </is>
      </c>
      <c r="BD839" t="inlineStr">
        <is>
          <t>893721501</t>
        </is>
      </c>
    </row>
    <row r="840">
      <c r="A840" t="inlineStr">
        <is>
          <t>No</t>
        </is>
      </c>
      <c r="B840" t="inlineStr">
        <is>
          <t>BF637.N4 L48</t>
        </is>
      </c>
      <c r="C840" t="inlineStr">
        <is>
          <t>0                      BF 0637000N  4                  L  48</t>
        </is>
      </c>
      <c r="D840" t="inlineStr">
        <is>
          <t>Power negotiating tactics and techniques / David V. Lewis.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Lewis, David V., 1923-</t>
        </is>
      </c>
      <c r="L840" t="inlineStr">
        <is>
          <t>Englewood Cliffs, N.J. : Prentice-Hall, c1981.</t>
        </is>
      </c>
      <c r="M840" t="inlineStr">
        <is>
          <t>1981</t>
        </is>
      </c>
      <c r="O840" t="inlineStr">
        <is>
          <t>eng</t>
        </is>
      </c>
      <c r="P840" t="inlineStr">
        <is>
          <t>nju</t>
        </is>
      </c>
      <c r="R840" t="inlineStr">
        <is>
          <t xml:space="preserve">BF </t>
        </is>
      </c>
      <c r="S840" t="n">
        <v>4</v>
      </c>
      <c r="T840" t="n">
        <v>4</v>
      </c>
      <c r="U840" t="inlineStr">
        <is>
          <t>2007-03-10</t>
        </is>
      </c>
      <c r="V840" t="inlineStr">
        <is>
          <t>2007-03-10</t>
        </is>
      </c>
      <c r="W840" t="inlineStr">
        <is>
          <t>1993-04-01</t>
        </is>
      </c>
      <c r="X840" t="inlineStr">
        <is>
          <t>1993-04-01</t>
        </is>
      </c>
      <c r="Y840" t="n">
        <v>191</v>
      </c>
      <c r="Z840" t="n">
        <v>155</v>
      </c>
      <c r="AA840" t="n">
        <v>156</v>
      </c>
      <c r="AB840" t="n">
        <v>3</v>
      </c>
      <c r="AC840" t="n">
        <v>3</v>
      </c>
      <c r="AD840" t="n">
        <v>11</v>
      </c>
      <c r="AE840" t="n">
        <v>11</v>
      </c>
      <c r="AF840" t="n">
        <v>1</v>
      </c>
      <c r="AG840" t="n">
        <v>1</v>
      </c>
      <c r="AH840" t="n">
        <v>0</v>
      </c>
      <c r="AI840" t="n">
        <v>0</v>
      </c>
      <c r="AJ840" t="n">
        <v>2</v>
      </c>
      <c r="AK840" t="n">
        <v>2</v>
      </c>
      <c r="AL840" t="n">
        <v>2</v>
      </c>
      <c r="AM840" t="n">
        <v>2</v>
      </c>
      <c r="AN840" t="n">
        <v>6</v>
      </c>
      <c r="AO840" t="n">
        <v>6</v>
      </c>
      <c r="AP840" t="inlineStr">
        <is>
          <t>No</t>
        </is>
      </c>
      <c r="AQ840" t="inlineStr">
        <is>
          <t>Yes</t>
        </is>
      </c>
      <c r="AR840">
        <f>HYPERLINK("http://catalog.hathitrust.org/Record/007985356","HathiTrust Record")</f>
        <v/>
      </c>
      <c r="AS840">
        <f>HYPERLINK("https://creighton-primo.hosted.exlibrisgroup.com/primo-explore/search?tab=default_tab&amp;search_scope=EVERYTHING&amp;vid=01CRU&amp;lang=en_US&amp;offset=0&amp;query=any,contains,991005114659702656","Catalog Record")</f>
        <v/>
      </c>
      <c r="AT840">
        <f>HYPERLINK("http://www.worldcat.org/oclc/7461369","WorldCat Record")</f>
        <v/>
      </c>
      <c r="AU840" t="inlineStr">
        <is>
          <t>411843:eng</t>
        </is>
      </c>
      <c r="AV840" t="inlineStr">
        <is>
          <t>7461369</t>
        </is>
      </c>
      <c r="AW840" t="inlineStr">
        <is>
          <t>991005114659702656</t>
        </is>
      </c>
      <c r="AX840" t="inlineStr">
        <is>
          <t>991005114659702656</t>
        </is>
      </c>
      <c r="AY840" t="inlineStr">
        <is>
          <t>2265996180002656</t>
        </is>
      </c>
      <c r="AZ840" t="inlineStr">
        <is>
          <t>BOOK</t>
        </is>
      </c>
      <c r="BB840" t="inlineStr">
        <is>
          <t>9780136868088</t>
        </is>
      </c>
      <c r="BC840" t="inlineStr">
        <is>
          <t>32285001598332</t>
        </is>
      </c>
      <c r="BD840" t="inlineStr">
        <is>
          <t>893801748</t>
        </is>
      </c>
    </row>
    <row r="841">
      <c r="A841" t="inlineStr">
        <is>
          <t>No</t>
        </is>
      </c>
      <c r="B841" t="inlineStr">
        <is>
          <t>BF637.N4 L485 1985</t>
        </is>
      </c>
      <c r="C841" t="inlineStr">
        <is>
          <t>0                      BF 0637000N  4                  L  485         1985</t>
        </is>
      </c>
      <c r="D841" t="inlineStr">
        <is>
          <t>Negotiation : readings, exercises, and cases / Roy J. Lewicki, Joseph A. Litterer.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Yes</t>
        </is>
      </c>
      <c r="J841" t="inlineStr">
        <is>
          <t>0</t>
        </is>
      </c>
      <c r="K841" t="inlineStr">
        <is>
          <t>Lewicki, Roy J.</t>
        </is>
      </c>
      <c r="L841" t="inlineStr">
        <is>
          <t>Homewood, Ill. : Richard D. Irwin, 1985.</t>
        </is>
      </c>
      <c r="M841" t="inlineStr">
        <is>
          <t>1985</t>
        </is>
      </c>
      <c r="O841" t="inlineStr">
        <is>
          <t>eng</t>
        </is>
      </c>
      <c r="P841" t="inlineStr">
        <is>
          <t>ilu</t>
        </is>
      </c>
      <c r="R841" t="inlineStr">
        <is>
          <t xml:space="preserve">BF </t>
        </is>
      </c>
      <c r="S841" t="n">
        <v>6</v>
      </c>
      <c r="T841" t="n">
        <v>6</v>
      </c>
      <c r="U841" t="inlineStr">
        <is>
          <t>2009-02-11</t>
        </is>
      </c>
      <c r="V841" t="inlineStr">
        <is>
          <t>2009-02-11</t>
        </is>
      </c>
      <c r="W841" t="inlineStr">
        <is>
          <t>1990-03-22</t>
        </is>
      </c>
      <c r="X841" t="inlineStr">
        <is>
          <t>1990-03-22</t>
        </is>
      </c>
      <c r="Y841" t="n">
        <v>174</v>
      </c>
      <c r="Z841" t="n">
        <v>112</v>
      </c>
      <c r="AA841" t="n">
        <v>607</v>
      </c>
      <c r="AB841" t="n">
        <v>1</v>
      </c>
      <c r="AC841" t="n">
        <v>5</v>
      </c>
      <c r="AD841" t="n">
        <v>5</v>
      </c>
      <c r="AE841" t="n">
        <v>30</v>
      </c>
      <c r="AF841" t="n">
        <v>1</v>
      </c>
      <c r="AG841" t="n">
        <v>12</v>
      </c>
      <c r="AH841" t="n">
        <v>1</v>
      </c>
      <c r="AI841" t="n">
        <v>5</v>
      </c>
      <c r="AJ841" t="n">
        <v>2</v>
      </c>
      <c r="AK841" t="n">
        <v>9</v>
      </c>
      <c r="AL841" t="n">
        <v>0</v>
      </c>
      <c r="AM841" t="n">
        <v>3</v>
      </c>
      <c r="AN841" t="n">
        <v>1</v>
      </c>
      <c r="AO841" t="n">
        <v>7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HYPERLINK("http://catalog.hathitrust.org/Record/000625217","HathiTrust Record")</f>
        <v/>
      </c>
      <c r="AS841">
        <f>HYPERLINK("https://creighton-primo.hosted.exlibrisgroup.com/primo-explore/search?tab=default_tab&amp;search_scope=EVERYTHING&amp;vid=01CRU&amp;lang=en_US&amp;offset=0&amp;query=any,contains,991000610279702656","Catalog Record")</f>
        <v/>
      </c>
      <c r="AT841">
        <f>HYPERLINK("http://www.worldcat.org/oclc/11905821","WorldCat Record")</f>
        <v/>
      </c>
      <c r="AU841" t="inlineStr">
        <is>
          <t>4921705821:eng</t>
        </is>
      </c>
      <c r="AV841" t="inlineStr">
        <is>
          <t>11905821</t>
        </is>
      </c>
      <c r="AW841" t="inlineStr">
        <is>
          <t>991000610279702656</t>
        </is>
      </c>
      <c r="AX841" t="inlineStr">
        <is>
          <t>991000610279702656</t>
        </is>
      </c>
      <c r="AY841" t="inlineStr">
        <is>
          <t>2256586530002656</t>
        </is>
      </c>
      <c r="AZ841" t="inlineStr">
        <is>
          <t>BOOK</t>
        </is>
      </c>
      <c r="BC841" t="inlineStr">
        <is>
          <t>32285000089788</t>
        </is>
      </c>
      <c r="BD841" t="inlineStr">
        <is>
          <t>893315094</t>
        </is>
      </c>
    </row>
    <row r="842">
      <c r="A842" t="inlineStr">
        <is>
          <t>No</t>
        </is>
      </c>
      <c r="B842" t="inlineStr">
        <is>
          <t>BF637.N4 N5 1973</t>
        </is>
      </c>
      <c r="C842" t="inlineStr">
        <is>
          <t>0                      BF 0637000N  4                  N  5           1973</t>
        </is>
      </c>
      <c r="D842" t="inlineStr">
        <is>
          <t>Fundamentals of negotiating / by Gerard I. Nierenberg.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No</t>
        </is>
      </c>
      <c r="J842" t="inlineStr">
        <is>
          <t>0</t>
        </is>
      </c>
      <c r="K842" t="inlineStr">
        <is>
          <t>Nierenberg, Gerard I.</t>
        </is>
      </c>
      <c r="L842" t="inlineStr">
        <is>
          <t>New York : Hawthorn Books, c1973.</t>
        </is>
      </c>
      <c r="M842" t="inlineStr">
        <is>
          <t>1973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BF </t>
        </is>
      </c>
      <c r="S842" t="n">
        <v>3</v>
      </c>
      <c r="T842" t="n">
        <v>3</v>
      </c>
      <c r="U842" t="inlineStr">
        <is>
          <t>1999-04-05</t>
        </is>
      </c>
      <c r="V842" t="inlineStr">
        <is>
          <t>1999-04-05</t>
        </is>
      </c>
      <c r="W842" t="inlineStr">
        <is>
          <t>1993-04-26</t>
        </is>
      </c>
      <c r="X842" t="inlineStr">
        <is>
          <t>1993-04-26</t>
        </is>
      </c>
      <c r="Y842" t="n">
        <v>781</v>
      </c>
      <c r="Z842" t="n">
        <v>697</v>
      </c>
      <c r="AA842" t="n">
        <v>784</v>
      </c>
      <c r="AB842" t="n">
        <v>3</v>
      </c>
      <c r="AC842" t="n">
        <v>4</v>
      </c>
      <c r="AD842" t="n">
        <v>27</v>
      </c>
      <c r="AE842" t="n">
        <v>34</v>
      </c>
      <c r="AF842" t="n">
        <v>8</v>
      </c>
      <c r="AG842" t="n">
        <v>11</v>
      </c>
      <c r="AH842" t="n">
        <v>4</v>
      </c>
      <c r="AI842" t="n">
        <v>6</v>
      </c>
      <c r="AJ842" t="n">
        <v>13</v>
      </c>
      <c r="AK842" t="n">
        <v>14</v>
      </c>
      <c r="AL842" t="n">
        <v>1</v>
      </c>
      <c r="AM842" t="n">
        <v>2</v>
      </c>
      <c r="AN842" t="n">
        <v>9</v>
      </c>
      <c r="AO842" t="n">
        <v>10</v>
      </c>
      <c r="AP842" t="inlineStr">
        <is>
          <t>No</t>
        </is>
      </c>
      <c r="AQ842" t="inlineStr">
        <is>
          <t>Yes</t>
        </is>
      </c>
      <c r="AR842">
        <f>HYPERLINK("http://catalog.hathitrust.org/Record/000386401","HathiTrust Record")</f>
        <v/>
      </c>
      <c r="AS842">
        <f>HYPERLINK("https://creighton-primo.hosted.exlibrisgroup.com/primo-explore/search?tab=default_tab&amp;search_scope=EVERYTHING&amp;vid=01CRU&amp;lang=en_US&amp;offset=0&amp;query=any,contains,991003187739702656","Catalog Record")</f>
        <v/>
      </c>
      <c r="AT842">
        <f>HYPERLINK("http://www.worldcat.org/oclc/713904","WorldCat Record")</f>
        <v/>
      </c>
      <c r="AU842" t="inlineStr">
        <is>
          <t>1173393400:eng</t>
        </is>
      </c>
      <c r="AV842" t="inlineStr">
        <is>
          <t>713904</t>
        </is>
      </c>
      <c r="AW842" t="inlineStr">
        <is>
          <t>991003187739702656</t>
        </is>
      </c>
      <c r="AX842" t="inlineStr">
        <is>
          <t>991003187739702656</t>
        </is>
      </c>
      <c r="AY842" t="inlineStr">
        <is>
          <t>2255169910002656</t>
        </is>
      </c>
      <c r="AZ842" t="inlineStr">
        <is>
          <t>BOOK</t>
        </is>
      </c>
      <c r="BC842" t="inlineStr">
        <is>
          <t>32285001625648</t>
        </is>
      </c>
      <c r="BD842" t="inlineStr">
        <is>
          <t>893416132</t>
        </is>
      </c>
    </row>
    <row r="843">
      <c r="A843" t="inlineStr">
        <is>
          <t>No</t>
        </is>
      </c>
      <c r="B843" t="inlineStr">
        <is>
          <t>BF637.N4 S65 1982</t>
        </is>
      </c>
      <c r="C843" t="inlineStr">
        <is>
          <t>0                      BF 0637000N  4                  S  65          1982</t>
        </is>
      </c>
      <c r="D843" t="inlineStr">
        <is>
          <t>The dynamics of effective negotiation / Donald B. Sparks.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Sparks, Donald B.</t>
        </is>
      </c>
      <c r="L843" t="inlineStr">
        <is>
          <t>Houston : Gulf Pub. Co., c1982.</t>
        </is>
      </c>
      <c r="M843" t="inlineStr">
        <is>
          <t>1982</t>
        </is>
      </c>
      <c r="O843" t="inlineStr">
        <is>
          <t>eng</t>
        </is>
      </c>
      <c r="P843" t="inlineStr">
        <is>
          <t>txu</t>
        </is>
      </c>
      <c r="R843" t="inlineStr">
        <is>
          <t xml:space="preserve">BF </t>
        </is>
      </c>
      <c r="S843" t="n">
        <v>5</v>
      </c>
      <c r="T843" t="n">
        <v>5</v>
      </c>
      <c r="U843" t="inlineStr">
        <is>
          <t>1995-06-12</t>
        </is>
      </c>
      <c r="V843" t="inlineStr">
        <is>
          <t>1995-06-12</t>
        </is>
      </c>
      <c r="W843" t="inlineStr">
        <is>
          <t>1993-04-01</t>
        </is>
      </c>
      <c r="X843" t="inlineStr">
        <is>
          <t>1993-04-01</t>
        </is>
      </c>
      <c r="Y843" t="n">
        <v>230</v>
      </c>
      <c r="Z843" t="n">
        <v>170</v>
      </c>
      <c r="AA843" t="n">
        <v>237</v>
      </c>
      <c r="AB843" t="n">
        <v>3</v>
      </c>
      <c r="AC843" t="n">
        <v>3</v>
      </c>
      <c r="AD843" t="n">
        <v>4</v>
      </c>
      <c r="AE843" t="n">
        <v>7</v>
      </c>
      <c r="AF843" t="n">
        <v>0</v>
      </c>
      <c r="AG843" t="n">
        <v>1</v>
      </c>
      <c r="AH843" t="n">
        <v>1</v>
      </c>
      <c r="AI843" t="n">
        <v>3</v>
      </c>
      <c r="AJ843" t="n">
        <v>2</v>
      </c>
      <c r="AK843" t="n">
        <v>3</v>
      </c>
      <c r="AL843" t="n">
        <v>2</v>
      </c>
      <c r="AM843" t="n">
        <v>2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HYPERLINK("http://catalog.hathitrust.org/Record/007985355","HathiTrust Record")</f>
        <v/>
      </c>
      <c r="AS843">
        <f>HYPERLINK("https://creighton-primo.hosted.exlibrisgroup.com/primo-explore/search?tab=default_tab&amp;search_scope=EVERYTHING&amp;vid=01CRU&amp;lang=en_US&amp;offset=0&amp;query=any,contains,991005213659702656","Catalog Record")</f>
        <v/>
      </c>
      <c r="AT843">
        <f>HYPERLINK("http://www.worldcat.org/oclc/8171356","WorldCat Record")</f>
        <v/>
      </c>
      <c r="AU843" t="inlineStr">
        <is>
          <t>20661370:eng</t>
        </is>
      </c>
      <c r="AV843" t="inlineStr">
        <is>
          <t>8171356</t>
        </is>
      </c>
      <c r="AW843" t="inlineStr">
        <is>
          <t>991005213659702656</t>
        </is>
      </c>
      <c r="AX843" t="inlineStr">
        <is>
          <t>991005213659702656</t>
        </is>
      </c>
      <c r="AY843" t="inlineStr">
        <is>
          <t>2257062070002656</t>
        </is>
      </c>
      <c r="AZ843" t="inlineStr">
        <is>
          <t>BOOK</t>
        </is>
      </c>
      <c r="BB843" t="inlineStr">
        <is>
          <t>9780872015821</t>
        </is>
      </c>
      <c r="BC843" t="inlineStr">
        <is>
          <t>32285001598357</t>
        </is>
      </c>
      <c r="BD843" t="inlineStr">
        <is>
          <t>893870711</t>
        </is>
      </c>
    </row>
    <row r="844">
      <c r="A844" t="inlineStr">
        <is>
          <t>No</t>
        </is>
      </c>
      <c r="B844" t="inlineStr">
        <is>
          <t>BF637.N4 S94</t>
        </is>
      </c>
      <c r="C844" t="inlineStr">
        <is>
          <t>0                      BF 0637000N  4                  S  94</t>
        </is>
      </c>
      <c r="D844" t="inlineStr">
        <is>
          <t>The structure of conflict / edited by Paul Swingle.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Swingle, Paul G.</t>
        </is>
      </c>
      <c r="L844" t="inlineStr">
        <is>
          <t>New York : Academic Press, 1970.</t>
        </is>
      </c>
      <c r="M844" t="inlineStr">
        <is>
          <t>1970</t>
        </is>
      </c>
      <c r="O844" t="inlineStr">
        <is>
          <t>eng</t>
        </is>
      </c>
      <c r="P844" t="inlineStr">
        <is>
          <t>nyu</t>
        </is>
      </c>
      <c r="Q844" t="inlineStr">
        <is>
          <t>Social psychology</t>
        </is>
      </c>
      <c r="R844" t="inlineStr">
        <is>
          <t xml:space="preserve">BF </t>
        </is>
      </c>
      <c r="S844" t="n">
        <v>4</v>
      </c>
      <c r="T844" t="n">
        <v>4</v>
      </c>
      <c r="U844" t="inlineStr">
        <is>
          <t>2010-03-11</t>
        </is>
      </c>
      <c r="V844" t="inlineStr">
        <is>
          <t>2010-03-11</t>
        </is>
      </c>
      <c r="W844" t="inlineStr">
        <is>
          <t>1994-06-22</t>
        </is>
      </c>
      <c r="X844" t="inlineStr">
        <is>
          <t>1994-06-22</t>
        </is>
      </c>
      <c r="Y844" t="n">
        <v>692</v>
      </c>
      <c r="Z844" t="n">
        <v>516</v>
      </c>
      <c r="AA844" t="n">
        <v>519</v>
      </c>
      <c r="AB844" t="n">
        <v>5</v>
      </c>
      <c r="AC844" t="n">
        <v>5</v>
      </c>
      <c r="AD844" t="n">
        <v>35</v>
      </c>
      <c r="AE844" t="n">
        <v>35</v>
      </c>
      <c r="AF844" t="n">
        <v>13</v>
      </c>
      <c r="AG844" t="n">
        <v>13</v>
      </c>
      <c r="AH844" t="n">
        <v>8</v>
      </c>
      <c r="AI844" t="n">
        <v>8</v>
      </c>
      <c r="AJ844" t="n">
        <v>17</v>
      </c>
      <c r="AK844" t="n">
        <v>17</v>
      </c>
      <c r="AL844" t="n">
        <v>3</v>
      </c>
      <c r="AM844" t="n">
        <v>3</v>
      </c>
      <c r="AN844" t="n">
        <v>2</v>
      </c>
      <c r="AO844" t="n">
        <v>2</v>
      </c>
      <c r="AP844" t="inlineStr">
        <is>
          <t>No</t>
        </is>
      </c>
      <c r="AQ844" t="inlineStr">
        <is>
          <t>Yes</t>
        </is>
      </c>
      <c r="AR844">
        <f>HYPERLINK("http://catalog.hathitrust.org/Record/000001267","HathiTrust Record")</f>
        <v/>
      </c>
      <c r="AS844">
        <f>HYPERLINK("https://creighton-primo.hosted.exlibrisgroup.com/primo-explore/search?tab=default_tab&amp;search_scope=EVERYTHING&amp;vid=01CRU&amp;lang=en_US&amp;offset=0&amp;query=any,contains,991000562939702656","Catalog Record")</f>
        <v/>
      </c>
      <c r="AT844">
        <f>HYPERLINK("http://www.worldcat.org/oclc/93537","WorldCat Record")</f>
        <v/>
      </c>
      <c r="AU844" t="inlineStr">
        <is>
          <t>1310247:eng</t>
        </is>
      </c>
      <c r="AV844" t="inlineStr">
        <is>
          <t>93537</t>
        </is>
      </c>
      <c r="AW844" t="inlineStr">
        <is>
          <t>991000562939702656</t>
        </is>
      </c>
      <c r="AX844" t="inlineStr">
        <is>
          <t>991000562939702656</t>
        </is>
      </c>
      <c r="AY844" t="inlineStr">
        <is>
          <t>2262960840002656</t>
        </is>
      </c>
      <c r="AZ844" t="inlineStr">
        <is>
          <t>BOOK</t>
        </is>
      </c>
      <c r="BC844" t="inlineStr">
        <is>
          <t>32285001929628</t>
        </is>
      </c>
      <c r="BD844" t="inlineStr">
        <is>
          <t>893425835</t>
        </is>
      </c>
    </row>
    <row r="845">
      <c r="A845" t="inlineStr">
        <is>
          <t>No</t>
        </is>
      </c>
      <c r="B845" t="inlineStr">
        <is>
          <t>BF637.N4 W37</t>
        </is>
      </c>
      <c r="C845" t="inlineStr">
        <is>
          <t>0                      BF 0637000N  4                  W  37</t>
        </is>
      </c>
      <c r="D845" t="inlineStr">
        <is>
          <t>Winning by negotiation / Tessa Albert Warschaw.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K845" t="inlineStr">
        <is>
          <t>Warschaw, Tessa Albert.</t>
        </is>
      </c>
      <c r="L845" t="inlineStr">
        <is>
          <t>New York : McGraw-Hill, c1980.</t>
        </is>
      </c>
      <c r="M845" t="inlineStr">
        <is>
          <t>1980</t>
        </is>
      </c>
      <c r="O845" t="inlineStr">
        <is>
          <t>eng</t>
        </is>
      </c>
      <c r="P845" t="inlineStr">
        <is>
          <t>nyu</t>
        </is>
      </c>
      <c r="R845" t="inlineStr">
        <is>
          <t xml:space="preserve">BF </t>
        </is>
      </c>
      <c r="S845" t="n">
        <v>2</v>
      </c>
      <c r="T845" t="n">
        <v>2</v>
      </c>
      <c r="U845" t="inlineStr">
        <is>
          <t>1995-05-23</t>
        </is>
      </c>
      <c r="V845" t="inlineStr">
        <is>
          <t>1995-05-23</t>
        </is>
      </c>
      <c r="W845" t="inlineStr">
        <is>
          <t>1993-04-01</t>
        </is>
      </c>
      <c r="X845" t="inlineStr">
        <is>
          <t>1993-04-01</t>
        </is>
      </c>
      <c r="Y845" t="n">
        <v>528</v>
      </c>
      <c r="Z845" t="n">
        <v>501</v>
      </c>
      <c r="AA845" t="n">
        <v>542</v>
      </c>
      <c r="AB845" t="n">
        <v>3</v>
      </c>
      <c r="AC845" t="n">
        <v>4</v>
      </c>
      <c r="AD845" t="n">
        <v>9</v>
      </c>
      <c r="AE845" t="n">
        <v>10</v>
      </c>
      <c r="AF845" t="n">
        <v>1</v>
      </c>
      <c r="AG845" t="n">
        <v>1</v>
      </c>
      <c r="AH845" t="n">
        <v>0</v>
      </c>
      <c r="AI845" t="n">
        <v>0</v>
      </c>
      <c r="AJ845" t="n">
        <v>1</v>
      </c>
      <c r="AK845" t="n">
        <v>1</v>
      </c>
      <c r="AL845" t="n">
        <v>1</v>
      </c>
      <c r="AM845" t="n">
        <v>1</v>
      </c>
      <c r="AN845" t="n">
        <v>7</v>
      </c>
      <c r="AO845" t="n">
        <v>8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HYPERLINK("https://creighton-primo.hosted.exlibrisgroup.com/primo-explore/search?tab=default_tab&amp;search_scope=EVERYTHING&amp;vid=01CRU&amp;lang=en_US&amp;offset=0&amp;query=any,contains,991004957319702656","Catalog Record")</f>
        <v/>
      </c>
      <c r="AT845">
        <f>HYPERLINK("http://www.worldcat.org/oclc/6280668","WorldCat Record")</f>
        <v/>
      </c>
      <c r="AU845" t="inlineStr">
        <is>
          <t>385119:eng</t>
        </is>
      </c>
      <c r="AV845" t="inlineStr">
        <is>
          <t>6280668</t>
        </is>
      </c>
      <c r="AW845" t="inlineStr">
        <is>
          <t>991004957319702656</t>
        </is>
      </c>
      <c r="AX845" t="inlineStr">
        <is>
          <t>991004957319702656</t>
        </is>
      </c>
      <c r="AY845" t="inlineStr">
        <is>
          <t>2256054900002656</t>
        </is>
      </c>
      <c r="AZ845" t="inlineStr">
        <is>
          <t>BOOK</t>
        </is>
      </c>
      <c r="BB845" t="inlineStr">
        <is>
          <t>9780070007802</t>
        </is>
      </c>
      <c r="BC845" t="inlineStr">
        <is>
          <t>32285001598373</t>
        </is>
      </c>
      <c r="BD845" t="inlineStr">
        <is>
          <t>893789267</t>
        </is>
      </c>
    </row>
    <row r="846">
      <c r="A846" t="inlineStr">
        <is>
          <t>No</t>
        </is>
      </c>
      <c r="B846" t="inlineStr">
        <is>
          <t>BF637.P4 A2</t>
        </is>
      </c>
      <c r="C846" t="inlineStr">
        <is>
          <t>0                      BF 0637000P  4                  A  2</t>
        </is>
      </c>
      <c r="D846" t="inlineStr">
        <is>
          <t>Persuasion: how opinions and attitudes are changed.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Abelson, Herbert Irving, 1926-</t>
        </is>
      </c>
      <c r="L846" t="inlineStr">
        <is>
          <t>New York, Springer Pub. Co. [1959]</t>
        </is>
      </c>
      <c r="M846" t="inlineStr">
        <is>
          <t>1959</t>
        </is>
      </c>
      <c r="O846" t="inlineStr">
        <is>
          <t>eng</t>
        </is>
      </c>
      <c r="P846" t="inlineStr">
        <is>
          <t>nyu</t>
        </is>
      </c>
      <c r="R846" t="inlineStr">
        <is>
          <t xml:space="preserve">BF </t>
        </is>
      </c>
      <c r="S846" t="n">
        <v>3</v>
      </c>
      <c r="T846" t="n">
        <v>3</v>
      </c>
      <c r="U846" t="inlineStr">
        <is>
          <t>2000-03-26</t>
        </is>
      </c>
      <c r="V846" t="inlineStr">
        <is>
          <t>2000-03-26</t>
        </is>
      </c>
      <c r="W846" t="inlineStr">
        <is>
          <t>1996-08-01</t>
        </is>
      </c>
      <c r="X846" t="inlineStr">
        <is>
          <t>1996-08-01</t>
        </is>
      </c>
      <c r="Y846" t="n">
        <v>381</v>
      </c>
      <c r="Z846" t="n">
        <v>330</v>
      </c>
      <c r="AA846" t="n">
        <v>349</v>
      </c>
      <c r="AB846" t="n">
        <v>3</v>
      </c>
      <c r="AC846" t="n">
        <v>3</v>
      </c>
      <c r="AD846" t="n">
        <v>17</v>
      </c>
      <c r="AE846" t="n">
        <v>17</v>
      </c>
      <c r="AF846" t="n">
        <v>6</v>
      </c>
      <c r="AG846" t="n">
        <v>6</v>
      </c>
      <c r="AH846" t="n">
        <v>4</v>
      </c>
      <c r="AI846" t="n">
        <v>4</v>
      </c>
      <c r="AJ846" t="n">
        <v>8</v>
      </c>
      <c r="AK846" t="n">
        <v>8</v>
      </c>
      <c r="AL846" t="n">
        <v>2</v>
      </c>
      <c r="AM846" t="n">
        <v>2</v>
      </c>
      <c r="AN846" t="n">
        <v>1</v>
      </c>
      <c r="AO846" t="n">
        <v>1</v>
      </c>
      <c r="AP846" t="inlineStr">
        <is>
          <t>No</t>
        </is>
      </c>
      <c r="AQ846" t="inlineStr">
        <is>
          <t>No</t>
        </is>
      </c>
      <c r="AR846">
        <f>HYPERLINK("http://catalog.hathitrust.org/Record/000426203","HathiTrust Record")</f>
        <v/>
      </c>
      <c r="AS846">
        <f>HYPERLINK("https://creighton-primo.hosted.exlibrisgroup.com/primo-explore/search?tab=default_tab&amp;search_scope=EVERYTHING&amp;vid=01CRU&amp;lang=en_US&amp;offset=0&amp;query=any,contains,991003426849702656","Catalog Record")</f>
        <v/>
      </c>
      <c r="AT846">
        <f>HYPERLINK("http://www.worldcat.org/oclc/964768","WorldCat Record")</f>
        <v/>
      </c>
      <c r="AU846" t="inlineStr">
        <is>
          <t>1918532:eng</t>
        </is>
      </c>
      <c r="AV846" t="inlineStr">
        <is>
          <t>964768</t>
        </is>
      </c>
      <c r="AW846" t="inlineStr">
        <is>
          <t>991003426849702656</t>
        </is>
      </c>
      <c r="AX846" t="inlineStr">
        <is>
          <t>991003426849702656</t>
        </is>
      </c>
      <c r="AY846" t="inlineStr">
        <is>
          <t>2261674730002656</t>
        </is>
      </c>
      <c r="AZ846" t="inlineStr">
        <is>
          <t>BOOK</t>
        </is>
      </c>
      <c r="BC846" t="inlineStr">
        <is>
          <t>32285002252293</t>
        </is>
      </c>
      <c r="BD846" t="inlineStr">
        <is>
          <t>893893709</t>
        </is>
      </c>
    </row>
    <row r="847">
      <c r="A847" t="inlineStr">
        <is>
          <t>No</t>
        </is>
      </c>
      <c r="B847" t="inlineStr">
        <is>
          <t>BF637.P4 A53</t>
        </is>
      </c>
      <c r="C847" t="inlineStr">
        <is>
          <t>0                      BF 0637000P  4                  A  53</t>
        </is>
      </c>
      <c r="D847" t="inlineStr">
        <is>
          <t>Persuasion: theory and practice [by] Kenneth E. Andersen.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Andersen, Kenneth E.</t>
        </is>
      </c>
      <c r="L847" t="inlineStr">
        <is>
          <t>Boston, Allyn and Bacon [1971]</t>
        </is>
      </c>
      <c r="M847" t="inlineStr">
        <is>
          <t>1971</t>
        </is>
      </c>
      <c r="O847" t="inlineStr">
        <is>
          <t>eng</t>
        </is>
      </c>
      <c r="P847" t="inlineStr">
        <is>
          <t>mau</t>
        </is>
      </c>
      <c r="R847" t="inlineStr">
        <is>
          <t xml:space="preserve">BF </t>
        </is>
      </c>
      <c r="S847" t="n">
        <v>5</v>
      </c>
      <c r="T847" t="n">
        <v>5</v>
      </c>
      <c r="U847" t="inlineStr">
        <is>
          <t>2009-02-20</t>
        </is>
      </c>
      <c r="V847" t="inlineStr">
        <is>
          <t>2009-02-20</t>
        </is>
      </c>
      <c r="W847" t="inlineStr">
        <is>
          <t>1996-08-01</t>
        </is>
      </c>
      <c r="X847" t="inlineStr">
        <is>
          <t>1996-08-01</t>
        </is>
      </c>
      <c r="Y847" t="n">
        <v>290</v>
      </c>
      <c r="Z847" t="n">
        <v>260</v>
      </c>
      <c r="AA847" t="n">
        <v>383</v>
      </c>
      <c r="AB847" t="n">
        <v>8</v>
      </c>
      <c r="AC847" t="n">
        <v>9</v>
      </c>
      <c r="AD847" t="n">
        <v>16</v>
      </c>
      <c r="AE847" t="n">
        <v>22</v>
      </c>
      <c r="AF847" t="n">
        <v>3</v>
      </c>
      <c r="AG847" t="n">
        <v>5</v>
      </c>
      <c r="AH847" t="n">
        <v>5</v>
      </c>
      <c r="AI847" t="n">
        <v>6</v>
      </c>
      <c r="AJ847" t="n">
        <v>5</v>
      </c>
      <c r="AK847" t="n">
        <v>8</v>
      </c>
      <c r="AL847" t="n">
        <v>7</v>
      </c>
      <c r="AM847" t="n">
        <v>8</v>
      </c>
      <c r="AN847" t="n">
        <v>0</v>
      </c>
      <c r="AO847" t="n">
        <v>0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HYPERLINK("http://catalog.hathitrust.org/Record/009125204","HathiTrust Record")</f>
        <v/>
      </c>
      <c r="AS847">
        <f>HYPERLINK("https://creighton-primo.hosted.exlibrisgroup.com/primo-explore/search?tab=default_tab&amp;search_scope=EVERYTHING&amp;vid=01CRU&amp;lang=en_US&amp;offset=0&amp;query=any,contains,991000782759702656","Catalog Record")</f>
        <v/>
      </c>
      <c r="AT847">
        <f>HYPERLINK("http://www.worldcat.org/oclc/135578","WorldCat Record")</f>
        <v/>
      </c>
      <c r="AU847" t="inlineStr">
        <is>
          <t>4325674:eng</t>
        </is>
      </c>
      <c r="AV847" t="inlineStr">
        <is>
          <t>135578</t>
        </is>
      </c>
      <c r="AW847" t="inlineStr">
        <is>
          <t>991000782759702656</t>
        </is>
      </c>
      <c r="AX847" t="inlineStr">
        <is>
          <t>991000782759702656</t>
        </is>
      </c>
      <c r="AY847" t="inlineStr">
        <is>
          <t>2263355770002656</t>
        </is>
      </c>
      <c r="AZ847" t="inlineStr">
        <is>
          <t>BOOK</t>
        </is>
      </c>
      <c r="BC847" t="inlineStr">
        <is>
          <t>32285005117105</t>
        </is>
      </c>
      <c r="BD847" t="inlineStr">
        <is>
          <t>893528384</t>
        </is>
      </c>
    </row>
    <row r="848">
      <c r="A848" t="inlineStr">
        <is>
          <t>No</t>
        </is>
      </c>
      <c r="B848" t="inlineStr">
        <is>
          <t>BF637.P4 B4 1980</t>
        </is>
      </c>
      <c r="C848" t="inlineStr">
        <is>
          <t>0                      BF 0637000P  4                  B  4           1980</t>
        </is>
      </c>
      <c r="D848" t="inlineStr">
        <is>
          <t>Persuasive communication / Erwin P. Bettinghaus.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Bettinghaus, Erwin Paul, 1930-</t>
        </is>
      </c>
      <c r="L848" t="inlineStr">
        <is>
          <t>New York, N.Y. : Holt, Rinehart and Winston, c1980.</t>
        </is>
      </c>
      <c r="M848" t="inlineStr">
        <is>
          <t>1980</t>
        </is>
      </c>
      <c r="N848" t="inlineStr">
        <is>
          <t>3d ed.</t>
        </is>
      </c>
      <c r="O848" t="inlineStr">
        <is>
          <t>eng</t>
        </is>
      </c>
      <c r="P848" t="inlineStr">
        <is>
          <t>nyu</t>
        </is>
      </c>
      <c r="R848" t="inlineStr">
        <is>
          <t xml:space="preserve">BF </t>
        </is>
      </c>
      <c r="S848" t="n">
        <v>6</v>
      </c>
      <c r="T848" t="n">
        <v>6</v>
      </c>
      <c r="U848" t="inlineStr">
        <is>
          <t>2000-03-13</t>
        </is>
      </c>
      <c r="V848" t="inlineStr">
        <is>
          <t>2000-03-13</t>
        </is>
      </c>
      <c r="W848" t="inlineStr">
        <is>
          <t>1990-02-26</t>
        </is>
      </c>
      <c r="X848" t="inlineStr">
        <is>
          <t>1990-02-26</t>
        </is>
      </c>
      <c r="Y848" t="n">
        <v>240</v>
      </c>
      <c r="Z848" t="n">
        <v>176</v>
      </c>
      <c r="AA848" t="n">
        <v>747</v>
      </c>
      <c r="AB848" t="n">
        <v>2</v>
      </c>
      <c r="AC848" t="n">
        <v>5</v>
      </c>
      <c r="AD848" t="n">
        <v>7</v>
      </c>
      <c r="AE848" t="n">
        <v>29</v>
      </c>
      <c r="AF848" t="n">
        <v>4</v>
      </c>
      <c r="AG848" t="n">
        <v>11</v>
      </c>
      <c r="AH848" t="n">
        <v>0</v>
      </c>
      <c r="AI848" t="n">
        <v>6</v>
      </c>
      <c r="AJ848" t="n">
        <v>2</v>
      </c>
      <c r="AK848" t="n">
        <v>13</v>
      </c>
      <c r="AL848" t="n">
        <v>1</v>
      </c>
      <c r="AM848" t="n">
        <v>4</v>
      </c>
      <c r="AN848" t="n">
        <v>0</v>
      </c>
      <c r="AO848" t="n">
        <v>1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HYPERLINK("http://catalog.hathitrust.org/Record/000738160","HathiTrust Record")</f>
        <v/>
      </c>
      <c r="AS848">
        <f>HYPERLINK("https://creighton-primo.hosted.exlibrisgroup.com/primo-explore/search?tab=default_tab&amp;search_scope=EVERYTHING&amp;vid=01CRU&amp;lang=en_US&amp;offset=0&amp;query=any,contains,991004902779702656","Catalog Record")</f>
        <v/>
      </c>
      <c r="AT848">
        <f>HYPERLINK("http://www.worldcat.org/oclc/5942137","WorldCat Record")</f>
        <v/>
      </c>
      <c r="AU848" t="inlineStr">
        <is>
          <t>1337888:eng</t>
        </is>
      </c>
      <c r="AV848" t="inlineStr">
        <is>
          <t>5942137</t>
        </is>
      </c>
      <c r="AW848" t="inlineStr">
        <is>
          <t>991004902779702656</t>
        </is>
      </c>
      <c r="AX848" t="inlineStr">
        <is>
          <t>991004902779702656</t>
        </is>
      </c>
      <c r="AY848" t="inlineStr">
        <is>
          <t>2270637930002656</t>
        </is>
      </c>
      <c r="AZ848" t="inlineStr">
        <is>
          <t>BOOK</t>
        </is>
      </c>
      <c r="BB848" t="inlineStr">
        <is>
          <t>9780030899591</t>
        </is>
      </c>
      <c r="BC848" t="inlineStr">
        <is>
          <t>32285000059674</t>
        </is>
      </c>
      <c r="BD848" t="inlineStr">
        <is>
          <t>893520160</t>
        </is>
      </c>
    </row>
    <row r="849">
      <c r="A849" t="inlineStr">
        <is>
          <t>No</t>
        </is>
      </c>
      <c r="B849" t="inlineStr">
        <is>
          <t>BF637.P4 R6</t>
        </is>
      </c>
      <c r="C849" t="inlineStr">
        <is>
          <t>0                      BF 0637000P  4                  R  6</t>
        </is>
      </c>
      <c r="D849" t="inlineStr">
        <is>
          <t>Experiments in persuasion, edited by Ralph L. Rosnow and Edward J. Robinson.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Rosnow, Ralph L. compiler.</t>
        </is>
      </c>
      <c r="L849" t="inlineStr">
        <is>
          <t>New York, Academic Press, 1967.</t>
        </is>
      </c>
      <c r="M849" t="inlineStr">
        <is>
          <t>1967</t>
        </is>
      </c>
      <c r="O849" t="inlineStr">
        <is>
          <t>eng</t>
        </is>
      </c>
      <c r="P849" t="inlineStr">
        <is>
          <t>nyu</t>
        </is>
      </c>
      <c r="Q849" t="inlineStr">
        <is>
          <t>Social psychology</t>
        </is>
      </c>
      <c r="R849" t="inlineStr">
        <is>
          <t xml:space="preserve">BF </t>
        </is>
      </c>
      <c r="S849" t="n">
        <v>5</v>
      </c>
      <c r="T849" t="n">
        <v>5</v>
      </c>
      <c r="U849" t="inlineStr">
        <is>
          <t>2004-06-29</t>
        </is>
      </c>
      <c r="V849" t="inlineStr">
        <is>
          <t>2004-06-29</t>
        </is>
      </c>
      <c r="W849" t="inlineStr">
        <is>
          <t>1996-08-01</t>
        </is>
      </c>
      <c r="X849" t="inlineStr">
        <is>
          <t>1996-08-01</t>
        </is>
      </c>
      <c r="Y849" t="n">
        <v>634</v>
      </c>
      <c r="Z849" t="n">
        <v>481</v>
      </c>
      <c r="AA849" t="n">
        <v>491</v>
      </c>
      <c r="AB849" t="n">
        <v>5</v>
      </c>
      <c r="AC849" t="n">
        <v>5</v>
      </c>
      <c r="AD849" t="n">
        <v>24</v>
      </c>
      <c r="AE849" t="n">
        <v>24</v>
      </c>
      <c r="AF849" t="n">
        <v>6</v>
      </c>
      <c r="AG849" t="n">
        <v>6</v>
      </c>
      <c r="AH849" t="n">
        <v>5</v>
      </c>
      <c r="AI849" t="n">
        <v>5</v>
      </c>
      <c r="AJ849" t="n">
        <v>15</v>
      </c>
      <c r="AK849" t="n">
        <v>15</v>
      </c>
      <c r="AL849" t="n">
        <v>4</v>
      </c>
      <c r="AM849" t="n">
        <v>4</v>
      </c>
      <c r="AN849" t="n">
        <v>0</v>
      </c>
      <c r="AO849" t="n">
        <v>0</v>
      </c>
      <c r="AP849" t="inlineStr">
        <is>
          <t>No</t>
        </is>
      </c>
      <c r="AQ849" t="inlineStr">
        <is>
          <t>Yes</t>
        </is>
      </c>
      <c r="AR849">
        <f>HYPERLINK("http://catalog.hathitrust.org/Record/000427354","HathiTrust Record")</f>
        <v/>
      </c>
      <c r="AS849">
        <f>HYPERLINK("https://creighton-primo.hosted.exlibrisgroup.com/primo-explore/search?tab=default_tab&amp;search_scope=EVERYTHING&amp;vid=01CRU&amp;lang=en_US&amp;offset=0&amp;query=any,contains,991001367109702656","Catalog Record")</f>
        <v/>
      </c>
      <c r="AT849">
        <f>HYPERLINK("http://www.worldcat.org/oclc/222764","WorldCat Record")</f>
        <v/>
      </c>
      <c r="AU849" t="inlineStr">
        <is>
          <t>365435635:eng</t>
        </is>
      </c>
      <c r="AV849" t="inlineStr">
        <is>
          <t>222764</t>
        </is>
      </c>
      <c r="AW849" t="inlineStr">
        <is>
          <t>991001367109702656</t>
        </is>
      </c>
      <c r="AX849" t="inlineStr">
        <is>
          <t>991001367109702656</t>
        </is>
      </c>
      <c r="AY849" t="inlineStr">
        <is>
          <t>2262308120002656</t>
        </is>
      </c>
      <c r="AZ849" t="inlineStr">
        <is>
          <t>BOOK</t>
        </is>
      </c>
      <c r="BC849" t="inlineStr">
        <is>
          <t>32285002252343</t>
        </is>
      </c>
      <c r="BD849" t="inlineStr">
        <is>
          <t>893897737</t>
        </is>
      </c>
    </row>
    <row r="850">
      <c r="A850" t="inlineStr">
        <is>
          <t>No</t>
        </is>
      </c>
      <c r="B850" t="inlineStr">
        <is>
          <t>BF637.R57 K49 1985</t>
        </is>
      </c>
      <c r="C850" t="inlineStr">
        <is>
          <t>0                      BF 0637000R  57                 K  49          1985</t>
        </is>
      </c>
      <c r="D850" t="inlineStr">
        <is>
          <t>Chancing it : why we take risks / Ralph Keyes.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Keyes, Ralph.</t>
        </is>
      </c>
      <c r="L850" t="inlineStr">
        <is>
          <t>Boston : Little, Brown, c1985.</t>
        </is>
      </c>
      <c r="M850" t="inlineStr">
        <is>
          <t>1985</t>
        </is>
      </c>
      <c r="N850" t="inlineStr">
        <is>
          <t>1st ed.</t>
        </is>
      </c>
      <c r="O850" t="inlineStr">
        <is>
          <t>eng</t>
        </is>
      </c>
      <c r="P850" t="inlineStr">
        <is>
          <t>mau</t>
        </is>
      </c>
      <c r="R850" t="inlineStr">
        <is>
          <t xml:space="preserve">BF </t>
        </is>
      </c>
      <c r="S850" t="n">
        <v>4</v>
      </c>
      <c r="T850" t="n">
        <v>4</v>
      </c>
      <c r="U850" t="inlineStr">
        <is>
          <t>2004-10-21</t>
        </is>
      </c>
      <c r="V850" t="inlineStr">
        <is>
          <t>2004-10-21</t>
        </is>
      </c>
      <c r="W850" t="inlineStr">
        <is>
          <t>1992-03-27</t>
        </is>
      </c>
      <c r="X850" t="inlineStr">
        <is>
          <t>1992-03-27</t>
        </is>
      </c>
      <c r="Y850" t="n">
        <v>619</v>
      </c>
      <c r="Z850" t="n">
        <v>581</v>
      </c>
      <c r="AA850" t="n">
        <v>589</v>
      </c>
      <c r="AB850" t="n">
        <v>3</v>
      </c>
      <c r="AC850" t="n">
        <v>3</v>
      </c>
      <c r="AD850" t="n">
        <v>17</v>
      </c>
      <c r="AE850" t="n">
        <v>17</v>
      </c>
      <c r="AF850" t="n">
        <v>8</v>
      </c>
      <c r="AG850" t="n">
        <v>8</v>
      </c>
      <c r="AH850" t="n">
        <v>1</v>
      </c>
      <c r="AI850" t="n">
        <v>1</v>
      </c>
      <c r="AJ850" t="n">
        <v>9</v>
      </c>
      <c r="AK850" t="n">
        <v>9</v>
      </c>
      <c r="AL850" t="n">
        <v>2</v>
      </c>
      <c r="AM850" t="n">
        <v>2</v>
      </c>
      <c r="AN850" t="n">
        <v>0</v>
      </c>
      <c r="AO850" t="n">
        <v>0</v>
      </c>
      <c r="AP850" t="inlineStr">
        <is>
          <t>No</t>
        </is>
      </c>
      <c r="AQ850" t="inlineStr">
        <is>
          <t>No</t>
        </is>
      </c>
      <c r="AS850">
        <f>HYPERLINK("https://creighton-primo.hosted.exlibrisgroup.com/primo-explore/search?tab=default_tab&amp;search_scope=EVERYTHING&amp;vid=01CRU&amp;lang=en_US&amp;offset=0&amp;query=any,contains,991000487759702656","Catalog Record")</f>
        <v/>
      </c>
      <c r="AT850">
        <f>HYPERLINK("http://www.worldcat.org/oclc/11090071","WorldCat Record")</f>
        <v/>
      </c>
      <c r="AU850" t="inlineStr">
        <is>
          <t>4060682:eng</t>
        </is>
      </c>
      <c r="AV850" t="inlineStr">
        <is>
          <t>11090071</t>
        </is>
      </c>
      <c r="AW850" t="inlineStr">
        <is>
          <t>991000487759702656</t>
        </is>
      </c>
      <c r="AX850" t="inlineStr">
        <is>
          <t>991000487759702656</t>
        </is>
      </c>
      <c r="AY850" t="inlineStr">
        <is>
          <t>2269210690002656</t>
        </is>
      </c>
      <c r="AZ850" t="inlineStr">
        <is>
          <t>BOOK</t>
        </is>
      </c>
      <c r="BB850" t="inlineStr">
        <is>
          <t>9780316491327</t>
        </is>
      </c>
      <c r="BC850" t="inlineStr">
        <is>
          <t>32285001045342</t>
        </is>
      </c>
      <c r="BD850" t="inlineStr">
        <is>
          <t>893345703</t>
        </is>
      </c>
    </row>
    <row r="851">
      <c r="A851" t="inlineStr">
        <is>
          <t>No</t>
        </is>
      </c>
      <c r="B851" t="inlineStr">
        <is>
          <t>BF637.R57 R57 1992</t>
        </is>
      </c>
      <c r="C851" t="inlineStr">
        <is>
          <t>0                      BF 0637000R  57                 R  57          1992</t>
        </is>
      </c>
      <c r="D851" t="inlineStr">
        <is>
          <t>Risk-taking behavior / edited by J. Frank Yates.</t>
        </is>
      </c>
      <c r="F851" t="inlineStr">
        <is>
          <t>No</t>
        </is>
      </c>
      <c r="G851" t="inlineStr">
        <is>
          <t>1</t>
        </is>
      </c>
      <c r="H851" t="inlineStr">
        <is>
          <t>Yes</t>
        </is>
      </c>
      <c r="I851" t="inlineStr">
        <is>
          <t>No</t>
        </is>
      </c>
      <c r="J851" t="inlineStr">
        <is>
          <t>0</t>
        </is>
      </c>
      <c r="L851" t="inlineStr">
        <is>
          <t>Chichester, West Sussex, England ; New York : Wiley, c1992.</t>
        </is>
      </c>
      <c r="M851" t="inlineStr">
        <is>
          <t>1992</t>
        </is>
      </c>
      <c r="O851" t="inlineStr">
        <is>
          <t>eng</t>
        </is>
      </c>
      <c r="P851" t="inlineStr">
        <is>
          <t>enk</t>
        </is>
      </c>
      <c r="Q851" t="inlineStr">
        <is>
          <t>Wiley series, Human performance and cognition</t>
        </is>
      </c>
      <c r="R851" t="inlineStr">
        <is>
          <t xml:space="preserve">BF </t>
        </is>
      </c>
      <c r="S851" t="n">
        <v>7</v>
      </c>
      <c r="T851" t="n">
        <v>12</v>
      </c>
      <c r="U851" t="inlineStr">
        <is>
          <t>2010-10-05</t>
        </is>
      </c>
      <c r="V851" t="inlineStr">
        <is>
          <t>2010-10-05</t>
        </is>
      </c>
      <c r="W851" t="inlineStr">
        <is>
          <t>1992-10-22</t>
        </is>
      </c>
      <c r="X851" t="inlineStr">
        <is>
          <t>1992-10-22</t>
        </is>
      </c>
      <c r="Y851" t="n">
        <v>406</v>
      </c>
      <c r="Z851" t="n">
        <v>231</v>
      </c>
      <c r="AA851" t="n">
        <v>239</v>
      </c>
      <c r="AB851" t="n">
        <v>3</v>
      </c>
      <c r="AC851" t="n">
        <v>3</v>
      </c>
      <c r="AD851" t="n">
        <v>7</v>
      </c>
      <c r="AE851" t="n">
        <v>7</v>
      </c>
      <c r="AF851" t="n">
        <v>2</v>
      </c>
      <c r="AG851" t="n">
        <v>2</v>
      </c>
      <c r="AH851" t="n">
        <v>2</v>
      </c>
      <c r="AI851" t="n">
        <v>2</v>
      </c>
      <c r="AJ851" t="n">
        <v>2</v>
      </c>
      <c r="AK851" t="n">
        <v>2</v>
      </c>
      <c r="AL851" t="n">
        <v>1</v>
      </c>
      <c r="AM851" t="n">
        <v>1</v>
      </c>
      <c r="AN851" t="n">
        <v>0</v>
      </c>
      <c r="AO851" t="n">
        <v>0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HYPERLINK("http://catalog.hathitrust.org/Record/002560673","HathiTrust Record")</f>
        <v/>
      </c>
      <c r="AS851">
        <f>HYPERLINK("https://creighton-primo.hosted.exlibrisgroup.com/primo-explore/search?tab=default_tab&amp;search_scope=EVERYTHING&amp;vid=01CRU&amp;lang=en_US&amp;offset=0&amp;query=any,contains,991001796279702656","Catalog Record")</f>
        <v/>
      </c>
      <c r="AT851">
        <f>HYPERLINK("http://www.worldcat.org/oclc/23968596","WorldCat Record")</f>
        <v/>
      </c>
      <c r="AU851" t="inlineStr">
        <is>
          <t>55475314:eng</t>
        </is>
      </c>
      <c r="AV851" t="inlineStr">
        <is>
          <t>23968596</t>
        </is>
      </c>
      <c r="AW851" t="inlineStr">
        <is>
          <t>991001796279702656</t>
        </is>
      </c>
      <c r="AX851" t="inlineStr">
        <is>
          <t>991001796279702656</t>
        </is>
      </c>
      <c r="AY851" t="inlineStr">
        <is>
          <t>2268138520002656</t>
        </is>
      </c>
      <c r="AZ851" t="inlineStr">
        <is>
          <t>BOOK</t>
        </is>
      </c>
      <c r="BB851" t="inlineStr">
        <is>
          <t>9780471922506</t>
        </is>
      </c>
      <c r="BC851" t="inlineStr">
        <is>
          <t>32285001373728</t>
        </is>
      </c>
      <c r="BD851" t="inlineStr">
        <is>
          <t>893697045</t>
        </is>
      </c>
    </row>
    <row r="852">
      <c r="A852" t="inlineStr">
        <is>
          <t>No</t>
        </is>
      </c>
      <c r="B852" t="inlineStr">
        <is>
          <t>BF637.R57 S54 1983</t>
        </is>
      </c>
      <c r="C852" t="inlineStr">
        <is>
          <t>0                      BF 0637000R  57                 S  54          1983</t>
        </is>
      </c>
      <c r="D852" t="inlineStr">
        <is>
          <t>Personal risk : mastering change in love and work / Ellen Y. Siegelman.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Siegelman, Ellen.</t>
        </is>
      </c>
      <c r="L852" t="inlineStr">
        <is>
          <t>New York : Harper &amp; Row, c1983.</t>
        </is>
      </c>
      <c r="M852" t="inlineStr">
        <is>
          <t>1983</t>
        </is>
      </c>
      <c r="O852" t="inlineStr">
        <is>
          <t>eng</t>
        </is>
      </c>
      <c r="P852" t="inlineStr">
        <is>
          <t>nyu</t>
        </is>
      </c>
      <c r="R852" t="inlineStr">
        <is>
          <t xml:space="preserve">BF </t>
        </is>
      </c>
      <c r="S852" t="n">
        <v>1</v>
      </c>
      <c r="T852" t="n">
        <v>1</v>
      </c>
      <c r="U852" t="inlineStr">
        <is>
          <t>1997-02-23</t>
        </is>
      </c>
      <c r="V852" t="inlineStr">
        <is>
          <t>1997-02-23</t>
        </is>
      </c>
      <c r="W852" t="inlineStr">
        <is>
          <t>1992-05-11</t>
        </is>
      </c>
      <c r="X852" t="inlineStr">
        <is>
          <t>1992-05-11</t>
        </is>
      </c>
      <c r="Y852" t="n">
        <v>160</v>
      </c>
      <c r="Z852" t="n">
        <v>128</v>
      </c>
      <c r="AA852" t="n">
        <v>133</v>
      </c>
      <c r="AB852" t="n">
        <v>3</v>
      </c>
      <c r="AC852" t="n">
        <v>3</v>
      </c>
      <c r="AD852" t="n">
        <v>4</v>
      </c>
      <c r="AE852" t="n">
        <v>4</v>
      </c>
      <c r="AF852" t="n">
        <v>1</v>
      </c>
      <c r="AG852" t="n">
        <v>1</v>
      </c>
      <c r="AH852" t="n">
        <v>1</v>
      </c>
      <c r="AI852" t="n">
        <v>1</v>
      </c>
      <c r="AJ852" t="n">
        <v>2</v>
      </c>
      <c r="AK852" t="n">
        <v>2</v>
      </c>
      <c r="AL852" t="n">
        <v>1</v>
      </c>
      <c r="AM852" t="n">
        <v>1</v>
      </c>
      <c r="AN852" t="n">
        <v>0</v>
      </c>
      <c r="AO852" t="n">
        <v>0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HYPERLINK("https://creighton-primo.hosted.exlibrisgroup.com/primo-explore/search?tab=default_tab&amp;search_scope=EVERYTHING&amp;vid=01CRU&amp;lang=en_US&amp;offset=0&amp;query=any,contains,991000095759702656","Catalog Record")</f>
        <v/>
      </c>
      <c r="AT852">
        <f>HYPERLINK("http://www.worldcat.org/oclc/8928638","WorldCat Record")</f>
        <v/>
      </c>
      <c r="AU852" t="inlineStr">
        <is>
          <t>2533311582:eng</t>
        </is>
      </c>
      <c r="AV852" t="inlineStr">
        <is>
          <t>8928638</t>
        </is>
      </c>
      <c r="AW852" t="inlineStr">
        <is>
          <t>991000095759702656</t>
        </is>
      </c>
      <c r="AX852" t="inlineStr">
        <is>
          <t>991000095759702656</t>
        </is>
      </c>
      <c r="AY852" t="inlineStr">
        <is>
          <t>2264415790002656</t>
        </is>
      </c>
      <c r="AZ852" t="inlineStr">
        <is>
          <t>BOOK</t>
        </is>
      </c>
      <c r="BB852" t="inlineStr">
        <is>
          <t>9780060461362</t>
        </is>
      </c>
      <c r="BC852" t="inlineStr">
        <is>
          <t>32285001107183</t>
        </is>
      </c>
      <c r="BD852" t="inlineStr">
        <is>
          <t>893406924</t>
        </is>
      </c>
    </row>
    <row r="853">
      <c r="A853" t="inlineStr">
        <is>
          <t>No</t>
        </is>
      </c>
      <c r="B853" t="inlineStr">
        <is>
          <t>BF637.S4 D89 1980</t>
        </is>
      </c>
      <c r="C853" t="inlineStr">
        <is>
          <t>0                      BF 0637000S  4                  D  89          1980</t>
        </is>
      </c>
      <c r="D853" t="inlineStr">
        <is>
          <t>The sky's the limit / Wayne W. Dyer.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K853" t="inlineStr">
        <is>
          <t>Dyer, Wayne W.</t>
        </is>
      </c>
      <c r="L853" t="inlineStr">
        <is>
          <t>New York : Simon and Schuster, c1980.</t>
        </is>
      </c>
      <c r="M853" t="inlineStr">
        <is>
          <t>1980</t>
        </is>
      </c>
      <c r="O853" t="inlineStr">
        <is>
          <t>eng</t>
        </is>
      </c>
      <c r="P853" t="inlineStr">
        <is>
          <t>nyu</t>
        </is>
      </c>
      <c r="R853" t="inlineStr">
        <is>
          <t xml:space="preserve">BF </t>
        </is>
      </c>
      <c r="S853" t="n">
        <v>5</v>
      </c>
      <c r="T853" t="n">
        <v>5</v>
      </c>
      <c r="U853" t="inlineStr">
        <is>
          <t>2003-05-23</t>
        </is>
      </c>
      <c r="V853" t="inlineStr">
        <is>
          <t>2003-05-23</t>
        </is>
      </c>
      <c r="W853" t="inlineStr">
        <is>
          <t>1993-04-12</t>
        </is>
      </c>
      <c r="X853" t="inlineStr">
        <is>
          <t>1993-04-12</t>
        </is>
      </c>
      <c r="Y853" t="n">
        <v>1313</v>
      </c>
      <c r="Z853" t="n">
        <v>1265</v>
      </c>
      <c r="AA853" t="n">
        <v>1394</v>
      </c>
      <c r="AB853" t="n">
        <v>11</v>
      </c>
      <c r="AC853" t="n">
        <v>11</v>
      </c>
      <c r="AD853" t="n">
        <v>9</v>
      </c>
      <c r="AE853" t="n">
        <v>10</v>
      </c>
      <c r="AF853" t="n">
        <v>4</v>
      </c>
      <c r="AG853" t="n">
        <v>4</v>
      </c>
      <c r="AH853" t="n">
        <v>2</v>
      </c>
      <c r="AI853" t="n">
        <v>2</v>
      </c>
      <c r="AJ853" t="n">
        <v>3</v>
      </c>
      <c r="AK853" t="n">
        <v>4</v>
      </c>
      <c r="AL853" t="n">
        <v>1</v>
      </c>
      <c r="AM853" t="n">
        <v>1</v>
      </c>
      <c r="AN853" t="n">
        <v>1</v>
      </c>
      <c r="AO853" t="n">
        <v>1</v>
      </c>
      <c r="AP853" t="inlineStr">
        <is>
          <t>No</t>
        </is>
      </c>
      <c r="AQ853" t="inlineStr">
        <is>
          <t>No</t>
        </is>
      </c>
      <c r="AS853">
        <f>HYPERLINK("https://creighton-primo.hosted.exlibrisgroup.com/primo-explore/search?tab=default_tab&amp;search_scope=EVERYTHING&amp;vid=01CRU&amp;lang=en_US&amp;offset=0&amp;query=any,contains,991004991469702656","Catalog Record")</f>
        <v/>
      </c>
      <c r="AT853">
        <f>HYPERLINK("http://www.worldcat.org/oclc/6487437","WorldCat Record")</f>
        <v/>
      </c>
      <c r="AU853" t="inlineStr">
        <is>
          <t>4494942142:eng</t>
        </is>
      </c>
      <c r="AV853" t="inlineStr">
        <is>
          <t>6487437</t>
        </is>
      </c>
      <c r="AW853" t="inlineStr">
        <is>
          <t>991004991469702656</t>
        </is>
      </c>
      <c r="AX853" t="inlineStr">
        <is>
          <t>991004991469702656</t>
        </is>
      </c>
      <c r="AY853" t="inlineStr">
        <is>
          <t>2271888420002656</t>
        </is>
      </c>
      <c r="AZ853" t="inlineStr">
        <is>
          <t>BOOK</t>
        </is>
      </c>
      <c r="BB853" t="inlineStr">
        <is>
          <t>9780671249892</t>
        </is>
      </c>
      <c r="BC853" t="inlineStr">
        <is>
          <t>32285001617298</t>
        </is>
      </c>
      <c r="BD853" t="inlineStr">
        <is>
          <t>893412175</t>
        </is>
      </c>
    </row>
    <row r="854">
      <c r="A854" t="inlineStr">
        <is>
          <t>No</t>
        </is>
      </c>
      <c r="B854" t="inlineStr">
        <is>
          <t>BF637.S4 D9</t>
        </is>
      </c>
      <c r="C854" t="inlineStr">
        <is>
          <t>0                      BF 0637000S  4                  D  9</t>
        </is>
      </c>
      <c r="D854" t="inlineStr">
        <is>
          <t>Your erroneous zones / Wayne W. Dyer.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Dyer, Wayne W.</t>
        </is>
      </c>
      <c r="L854" t="inlineStr">
        <is>
          <t>New York : Funk &amp; Wagnalls, c1976.</t>
        </is>
      </c>
      <c r="M854" t="inlineStr">
        <is>
          <t>1976</t>
        </is>
      </c>
      <c r="O854" t="inlineStr">
        <is>
          <t>eng</t>
        </is>
      </c>
      <c r="P854" t="inlineStr">
        <is>
          <t>nyu</t>
        </is>
      </c>
      <c r="R854" t="inlineStr">
        <is>
          <t xml:space="preserve">BF </t>
        </is>
      </c>
      <c r="S854" t="n">
        <v>8</v>
      </c>
      <c r="T854" t="n">
        <v>8</v>
      </c>
      <c r="U854" t="inlineStr">
        <is>
          <t>2003-08-28</t>
        </is>
      </c>
      <c r="V854" t="inlineStr">
        <is>
          <t>2003-08-28</t>
        </is>
      </c>
      <c r="W854" t="inlineStr">
        <is>
          <t>1990-07-06</t>
        </is>
      </c>
      <c r="X854" t="inlineStr">
        <is>
          <t>1990-07-06</t>
        </is>
      </c>
      <c r="Y854" t="n">
        <v>1578</v>
      </c>
      <c r="Z854" t="n">
        <v>1511</v>
      </c>
      <c r="AA854" t="n">
        <v>2138</v>
      </c>
      <c r="AB854" t="n">
        <v>17</v>
      </c>
      <c r="AC854" t="n">
        <v>22</v>
      </c>
      <c r="AD854" t="n">
        <v>21</v>
      </c>
      <c r="AE854" t="n">
        <v>27</v>
      </c>
      <c r="AF854" t="n">
        <v>12</v>
      </c>
      <c r="AG854" t="n">
        <v>12</v>
      </c>
      <c r="AH854" t="n">
        <v>2</v>
      </c>
      <c r="AI854" t="n">
        <v>3</v>
      </c>
      <c r="AJ854" t="n">
        <v>7</v>
      </c>
      <c r="AK854" t="n">
        <v>11</v>
      </c>
      <c r="AL854" t="n">
        <v>4</v>
      </c>
      <c r="AM854" t="n">
        <v>6</v>
      </c>
      <c r="AN854" t="n">
        <v>0</v>
      </c>
      <c r="AO854" t="n">
        <v>0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HYPERLINK("https://creighton-primo.hosted.exlibrisgroup.com/primo-explore/search?tab=default_tab&amp;search_scope=EVERYTHING&amp;vid=01CRU&amp;lang=en_US&amp;offset=0&amp;query=any,contains,991003914859702656","Catalog Record")</f>
        <v/>
      </c>
      <c r="AT854">
        <f>HYPERLINK("http://www.worldcat.org/oclc/1858408","WorldCat Record")</f>
        <v/>
      </c>
      <c r="AU854" t="inlineStr">
        <is>
          <t>903472553:eng</t>
        </is>
      </c>
      <c r="AV854" t="inlineStr">
        <is>
          <t>1858408</t>
        </is>
      </c>
      <c r="AW854" t="inlineStr">
        <is>
          <t>991003914859702656</t>
        </is>
      </c>
      <c r="AX854" t="inlineStr">
        <is>
          <t>991003914859702656</t>
        </is>
      </c>
      <c r="AY854" t="inlineStr">
        <is>
          <t>2266928130002656</t>
        </is>
      </c>
      <c r="AZ854" t="inlineStr">
        <is>
          <t>BOOK</t>
        </is>
      </c>
      <c r="BB854" t="inlineStr">
        <is>
          <t>9780308102286</t>
        </is>
      </c>
      <c r="BC854" t="inlineStr">
        <is>
          <t>32285000204205</t>
        </is>
      </c>
      <c r="BD854" t="inlineStr">
        <is>
          <t>893718220</t>
        </is>
      </c>
    </row>
    <row r="855">
      <c r="A855" t="inlineStr">
        <is>
          <t>No</t>
        </is>
      </c>
      <c r="B855" t="inlineStr">
        <is>
          <t>BF637.S4 G38 1986</t>
        </is>
      </c>
      <c r="C855" t="inlineStr">
        <is>
          <t>0                      BF 0637000S  4                  G  38          1986</t>
        </is>
      </c>
      <c r="D855" t="inlineStr">
        <is>
          <t>Living in the light : a guide to personal and planetary transformation. / by Shakti Gawain; with Laurel King.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Gawain, Shakti, 1948-2018.</t>
        </is>
      </c>
      <c r="L855" t="inlineStr">
        <is>
          <t>San Rafael, CA : Whatever Publishing, 1986.</t>
        </is>
      </c>
      <c r="M855" t="inlineStr">
        <is>
          <t>1986</t>
        </is>
      </c>
      <c r="O855" t="inlineStr">
        <is>
          <t>eng</t>
        </is>
      </c>
      <c r="P855" t="inlineStr">
        <is>
          <t xml:space="preserve">xx </t>
        </is>
      </c>
      <c r="R855" t="inlineStr">
        <is>
          <t xml:space="preserve">BF </t>
        </is>
      </c>
      <c r="S855" t="n">
        <v>10</v>
      </c>
      <c r="T855" t="n">
        <v>10</v>
      </c>
      <c r="U855" t="inlineStr">
        <is>
          <t>2004-04-12</t>
        </is>
      </c>
      <c r="V855" t="inlineStr">
        <is>
          <t>2004-04-12</t>
        </is>
      </c>
      <c r="W855" t="inlineStr">
        <is>
          <t>1991-12-16</t>
        </is>
      </c>
      <c r="X855" t="inlineStr">
        <is>
          <t>1991-12-16</t>
        </is>
      </c>
      <c r="Y855" t="n">
        <v>177</v>
      </c>
      <c r="Z855" t="n">
        <v>174</v>
      </c>
      <c r="AA855" t="n">
        <v>179</v>
      </c>
      <c r="AB855" t="n">
        <v>2</v>
      </c>
      <c r="AC855" t="n">
        <v>2</v>
      </c>
      <c r="AD855" t="n">
        <v>4</v>
      </c>
      <c r="AE855" t="n">
        <v>4</v>
      </c>
      <c r="AF855" t="n">
        <v>0</v>
      </c>
      <c r="AG855" t="n">
        <v>0</v>
      </c>
      <c r="AH855" t="n">
        <v>0</v>
      </c>
      <c r="AI855" t="n">
        <v>0</v>
      </c>
      <c r="AJ855" t="n">
        <v>3</v>
      </c>
      <c r="AK855" t="n">
        <v>3</v>
      </c>
      <c r="AL855" t="n">
        <v>1</v>
      </c>
      <c r="AM855" t="n">
        <v>1</v>
      </c>
      <c r="AN855" t="n">
        <v>0</v>
      </c>
      <c r="AO855" t="n">
        <v>0</v>
      </c>
      <c r="AP855" t="inlineStr">
        <is>
          <t>No</t>
        </is>
      </c>
      <c r="AQ855" t="inlineStr">
        <is>
          <t>No</t>
        </is>
      </c>
      <c r="AS855">
        <f>HYPERLINK("https://creighton-primo.hosted.exlibrisgroup.com/primo-explore/search?tab=default_tab&amp;search_scope=EVERYTHING&amp;vid=01CRU&amp;lang=en_US&amp;offset=0&amp;query=any,contains,991001489149702656","Catalog Record")</f>
        <v/>
      </c>
      <c r="AT855">
        <f>HYPERLINK("http://www.worldcat.org/oclc/13134407","WorldCat Record")</f>
        <v/>
      </c>
      <c r="AU855" t="inlineStr">
        <is>
          <t>687606479:eng</t>
        </is>
      </c>
      <c r="AV855" t="inlineStr">
        <is>
          <t>13134407</t>
        </is>
      </c>
      <c r="AW855" t="inlineStr">
        <is>
          <t>991001489149702656</t>
        </is>
      </c>
      <c r="AX855" t="inlineStr">
        <is>
          <t>991001489149702656</t>
        </is>
      </c>
      <c r="AY855" t="inlineStr">
        <is>
          <t>2265524470002656</t>
        </is>
      </c>
      <c r="AZ855" t="inlineStr">
        <is>
          <t>BOOK</t>
        </is>
      </c>
      <c r="BB855" t="inlineStr">
        <is>
          <t>9780931432149</t>
        </is>
      </c>
      <c r="BC855" t="inlineStr">
        <is>
          <t>32285000859354</t>
        </is>
      </c>
      <c r="BD855" t="inlineStr">
        <is>
          <t>893621420</t>
        </is>
      </c>
    </row>
    <row r="856">
      <c r="A856" t="inlineStr">
        <is>
          <t>No</t>
        </is>
      </c>
      <c r="B856" t="inlineStr">
        <is>
          <t>BF637.S8 B716</t>
        </is>
      </c>
      <c r="C856" t="inlineStr">
        <is>
          <t>0                      BF 0637000S  8                  B  716</t>
        </is>
      </c>
      <c r="D856" t="inlineStr">
        <is>
          <t>How to get whatever you want out of life / Joyce Brothers.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Brothers, Joyce.</t>
        </is>
      </c>
      <c r="L856" t="inlineStr">
        <is>
          <t>New York : Simon and Schuster, c1978.</t>
        </is>
      </c>
      <c r="M856" t="inlineStr">
        <is>
          <t>1978</t>
        </is>
      </c>
      <c r="O856" t="inlineStr">
        <is>
          <t>eng</t>
        </is>
      </c>
      <c r="P856" t="inlineStr">
        <is>
          <t>nyu</t>
        </is>
      </c>
      <c r="R856" t="inlineStr">
        <is>
          <t xml:space="preserve">BF </t>
        </is>
      </c>
      <c r="S856" t="n">
        <v>8</v>
      </c>
      <c r="T856" t="n">
        <v>8</v>
      </c>
      <c r="U856" t="inlineStr">
        <is>
          <t>2005-11-14</t>
        </is>
      </c>
      <c r="V856" t="inlineStr">
        <is>
          <t>2005-11-14</t>
        </is>
      </c>
      <c r="W856" t="inlineStr">
        <is>
          <t>1993-04-01</t>
        </is>
      </c>
      <c r="X856" t="inlineStr">
        <is>
          <t>1993-04-01</t>
        </is>
      </c>
      <c r="Y856" t="n">
        <v>647</v>
      </c>
      <c r="Z856" t="n">
        <v>627</v>
      </c>
      <c r="AA856" t="n">
        <v>669</v>
      </c>
      <c r="AB856" t="n">
        <v>6</v>
      </c>
      <c r="AC856" t="n">
        <v>6</v>
      </c>
      <c r="AD856" t="n">
        <v>6</v>
      </c>
      <c r="AE856" t="n">
        <v>6</v>
      </c>
      <c r="AF856" t="n">
        <v>3</v>
      </c>
      <c r="AG856" t="n">
        <v>3</v>
      </c>
      <c r="AH856" t="n">
        <v>0</v>
      </c>
      <c r="AI856" t="n">
        <v>0</v>
      </c>
      <c r="AJ856" t="n">
        <v>3</v>
      </c>
      <c r="AK856" t="n">
        <v>3</v>
      </c>
      <c r="AL856" t="n">
        <v>2</v>
      </c>
      <c r="AM856" t="n">
        <v>2</v>
      </c>
      <c r="AN856" t="n">
        <v>0</v>
      </c>
      <c r="AO856" t="n">
        <v>0</v>
      </c>
      <c r="AP856" t="inlineStr">
        <is>
          <t>No</t>
        </is>
      </c>
      <c r="AQ856" t="inlineStr">
        <is>
          <t>Yes</t>
        </is>
      </c>
      <c r="AR856">
        <f>HYPERLINK("http://catalog.hathitrust.org/Record/012264016","HathiTrust Record")</f>
        <v/>
      </c>
      <c r="AS856">
        <f>HYPERLINK("https://creighton-primo.hosted.exlibrisgroup.com/primo-explore/search?tab=default_tab&amp;search_scope=EVERYTHING&amp;vid=01CRU&amp;lang=en_US&amp;offset=0&amp;query=any,contains,991004593659702656","Catalog Record")</f>
        <v/>
      </c>
      <c r="AT856">
        <f>HYPERLINK("http://www.worldcat.org/oclc/4135905","WorldCat Record")</f>
        <v/>
      </c>
      <c r="AU856" t="inlineStr">
        <is>
          <t>4160404081:eng</t>
        </is>
      </c>
      <c r="AV856" t="inlineStr">
        <is>
          <t>4135905</t>
        </is>
      </c>
      <c r="AW856" t="inlineStr">
        <is>
          <t>991004593659702656</t>
        </is>
      </c>
      <c r="AX856" t="inlineStr">
        <is>
          <t>991004593659702656</t>
        </is>
      </c>
      <c r="AY856" t="inlineStr">
        <is>
          <t>2254809480002656</t>
        </is>
      </c>
      <c r="AZ856" t="inlineStr">
        <is>
          <t>BOOK</t>
        </is>
      </c>
      <c r="BB856" t="inlineStr">
        <is>
          <t>9780671226596</t>
        </is>
      </c>
      <c r="BC856" t="inlineStr">
        <is>
          <t>32285001598423</t>
        </is>
      </c>
      <c r="BD856" t="inlineStr">
        <is>
          <t>893712798</t>
        </is>
      </c>
    </row>
    <row r="857">
      <c r="A857" t="inlineStr">
        <is>
          <t>No</t>
        </is>
      </c>
      <c r="B857" t="inlineStr">
        <is>
          <t>BF637.S8 C35 1974</t>
        </is>
      </c>
      <c r="C857" t="inlineStr">
        <is>
          <t>0                      BF 0637000S  8                  C  35          1974</t>
        </is>
      </c>
      <c r="D857" t="inlineStr">
        <is>
          <t>If you don't know where you're going, you'll probably end up somewhere else / David Campbell ; [book illustrations by Nicole Hollander].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K857" t="inlineStr">
        <is>
          <t>Campbell, David P.</t>
        </is>
      </c>
      <c r="L857" t="inlineStr">
        <is>
          <t>Allen, Tex. : Thomas More, 1974.</t>
        </is>
      </c>
      <c r="M857" t="inlineStr">
        <is>
          <t>1974</t>
        </is>
      </c>
      <c r="O857" t="inlineStr">
        <is>
          <t>eng</t>
        </is>
      </c>
      <c r="P857" t="inlineStr">
        <is>
          <t>txu</t>
        </is>
      </c>
      <c r="R857" t="inlineStr">
        <is>
          <t xml:space="preserve">BF </t>
        </is>
      </c>
      <c r="S857" t="n">
        <v>1</v>
      </c>
      <c r="T857" t="n">
        <v>1</v>
      </c>
      <c r="U857" t="inlineStr">
        <is>
          <t>2008-06-04</t>
        </is>
      </c>
      <c r="V857" t="inlineStr">
        <is>
          <t>2008-06-04</t>
        </is>
      </c>
      <c r="W857" t="inlineStr">
        <is>
          <t>2008-06-04</t>
        </is>
      </c>
      <c r="X857" t="inlineStr">
        <is>
          <t>2008-06-04</t>
        </is>
      </c>
      <c r="Y857" t="n">
        <v>32</v>
      </c>
      <c r="Z857" t="n">
        <v>30</v>
      </c>
      <c r="AA857" t="n">
        <v>512</v>
      </c>
      <c r="AB857" t="n">
        <v>1</v>
      </c>
      <c r="AC857" t="n">
        <v>4</v>
      </c>
      <c r="AD857" t="n">
        <v>0</v>
      </c>
      <c r="AE857" t="n">
        <v>8</v>
      </c>
      <c r="AF857" t="n">
        <v>0</v>
      </c>
      <c r="AG857" t="n">
        <v>3</v>
      </c>
      <c r="AH857" t="n">
        <v>0</v>
      </c>
      <c r="AI857" t="n">
        <v>1</v>
      </c>
      <c r="AJ857" t="n">
        <v>0</v>
      </c>
      <c r="AK857" t="n">
        <v>2</v>
      </c>
      <c r="AL857" t="n">
        <v>0</v>
      </c>
      <c r="AM857" t="n">
        <v>1</v>
      </c>
      <c r="AN857" t="n">
        <v>0</v>
      </c>
      <c r="AO857" t="n">
        <v>2</v>
      </c>
      <c r="AP857" t="inlineStr">
        <is>
          <t>No</t>
        </is>
      </c>
      <c r="AQ857" t="inlineStr">
        <is>
          <t>No</t>
        </is>
      </c>
      <c r="AS857">
        <f>HYPERLINK("https://creighton-primo.hosted.exlibrisgroup.com/primo-explore/search?tab=default_tab&amp;search_scope=EVERYTHING&amp;vid=01CRU&amp;lang=en_US&amp;offset=0&amp;query=any,contains,991005228759702656","Catalog Record")</f>
        <v/>
      </c>
      <c r="AT857">
        <f>HYPERLINK("http://www.worldcat.org/oclc/36459919","WorldCat Record")</f>
        <v/>
      </c>
      <c r="AU857" t="inlineStr">
        <is>
          <t>2020462:eng</t>
        </is>
      </c>
      <c r="AV857" t="inlineStr">
        <is>
          <t>36459919</t>
        </is>
      </c>
      <c r="AW857" t="inlineStr">
        <is>
          <t>991005228759702656</t>
        </is>
      </c>
      <c r="AX857" t="inlineStr">
        <is>
          <t>991005228759702656</t>
        </is>
      </c>
      <c r="AY857" t="inlineStr">
        <is>
          <t>2271255570002656</t>
        </is>
      </c>
      <c r="AZ857" t="inlineStr">
        <is>
          <t>BOOK</t>
        </is>
      </c>
      <c r="BB857" t="inlineStr">
        <is>
          <t>9780883473276</t>
        </is>
      </c>
      <c r="BC857" t="inlineStr">
        <is>
          <t>32285005442438</t>
        </is>
      </c>
      <c r="BD857" t="inlineStr">
        <is>
          <t>893320291</t>
        </is>
      </c>
    </row>
    <row r="858">
      <c r="A858" t="inlineStr">
        <is>
          <t>No</t>
        </is>
      </c>
      <c r="B858" t="inlineStr">
        <is>
          <t>BF637.S8 D365 1984</t>
        </is>
      </c>
      <c r="C858" t="inlineStr">
        <is>
          <t>0                      BF 0637000S  8                  D  365         1984</t>
        </is>
      </c>
      <c r="D858" t="inlineStr">
        <is>
          <t>Tactics : the art and science of success / Edward de Bono.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De Bono, Edward, 1933-</t>
        </is>
      </c>
      <c r="L858" t="inlineStr">
        <is>
          <t>Boston : Little, Brown, c1984.</t>
        </is>
      </c>
      <c r="M858" t="inlineStr">
        <is>
          <t>1984</t>
        </is>
      </c>
      <c r="N858" t="inlineStr">
        <is>
          <t>1st American ed.</t>
        </is>
      </c>
      <c r="O858" t="inlineStr">
        <is>
          <t>eng</t>
        </is>
      </c>
      <c r="P858" t="inlineStr">
        <is>
          <t>mau</t>
        </is>
      </c>
      <c r="R858" t="inlineStr">
        <is>
          <t xml:space="preserve">BF </t>
        </is>
      </c>
      <c r="S858" t="n">
        <v>2</v>
      </c>
      <c r="T858" t="n">
        <v>2</v>
      </c>
      <c r="U858" t="inlineStr">
        <is>
          <t>2005-11-14</t>
        </is>
      </c>
      <c r="V858" t="inlineStr">
        <is>
          <t>2005-11-14</t>
        </is>
      </c>
      <c r="W858" t="inlineStr">
        <is>
          <t>1992-05-11</t>
        </is>
      </c>
      <c r="X858" t="inlineStr">
        <is>
          <t>1992-05-11</t>
        </is>
      </c>
      <c r="Y858" t="n">
        <v>361</v>
      </c>
      <c r="Z858" t="n">
        <v>308</v>
      </c>
      <c r="AA858" t="n">
        <v>340</v>
      </c>
      <c r="AB858" t="n">
        <v>2</v>
      </c>
      <c r="AC858" t="n">
        <v>3</v>
      </c>
      <c r="AD858" t="n">
        <v>12</v>
      </c>
      <c r="AE858" t="n">
        <v>13</v>
      </c>
      <c r="AF858" t="n">
        <v>6</v>
      </c>
      <c r="AG858" t="n">
        <v>6</v>
      </c>
      <c r="AH858" t="n">
        <v>3</v>
      </c>
      <c r="AI858" t="n">
        <v>3</v>
      </c>
      <c r="AJ858" t="n">
        <v>5</v>
      </c>
      <c r="AK858" t="n">
        <v>5</v>
      </c>
      <c r="AL858" t="n">
        <v>1</v>
      </c>
      <c r="AM858" t="n">
        <v>2</v>
      </c>
      <c r="AN858" t="n">
        <v>0</v>
      </c>
      <c r="AO858" t="n">
        <v>0</v>
      </c>
      <c r="AP858" t="inlineStr">
        <is>
          <t>No</t>
        </is>
      </c>
      <c r="AQ858" t="inlineStr">
        <is>
          <t>No</t>
        </is>
      </c>
      <c r="AS858">
        <f>HYPERLINK("https://creighton-primo.hosted.exlibrisgroup.com/primo-explore/search?tab=default_tab&amp;search_scope=EVERYTHING&amp;vid=01CRU&amp;lang=en_US&amp;offset=0&amp;query=any,contains,991000476389702656","Catalog Record")</f>
        <v/>
      </c>
      <c r="AT858">
        <f>HYPERLINK("http://www.worldcat.org/oclc/11030095","WorldCat Record")</f>
        <v/>
      </c>
      <c r="AU858" t="inlineStr">
        <is>
          <t>133796637:eng</t>
        </is>
      </c>
      <c r="AV858" t="inlineStr">
        <is>
          <t>11030095</t>
        </is>
      </c>
      <c r="AW858" t="inlineStr">
        <is>
          <t>991000476389702656</t>
        </is>
      </c>
      <c r="AX858" t="inlineStr">
        <is>
          <t>991000476389702656</t>
        </is>
      </c>
      <c r="AY858" t="inlineStr">
        <is>
          <t>2259973760002656</t>
        </is>
      </c>
      <c r="AZ858" t="inlineStr">
        <is>
          <t>BOOK</t>
        </is>
      </c>
      <c r="BB858" t="inlineStr">
        <is>
          <t>9780316177900</t>
        </is>
      </c>
      <c r="BC858" t="inlineStr">
        <is>
          <t>32285001107175</t>
        </is>
      </c>
      <c r="BD858" t="inlineStr">
        <is>
          <t>893589479</t>
        </is>
      </c>
    </row>
    <row r="859">
      <c r="A859" t="inlineStr">
        <is>
          <t>No</t>
        </is>
      </c>
      <c r="B859" t="inlineStr">
        <is>
          <t>BF637.S8 K83 1986</t>
        </is>
      </c>
      <c r="C859" t="inlineStr">
        <is>
          <t>0                      BF 0637000S  8                  K  83          1986</t>
        </is>
      </c>
      <c r="D859" t="inlineStr">
        <is>
          <t>Performing your best / Tom Kubistant.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K859" t="inlineStr">
        <is>
          <t>Kubistant, Tom, 1950-</t>
        </is>
      </c>
      <c r="L859" t="inlineStr">
        <is>
          <t>Champaign, IL : Life Enhancement Publications, c1986.</t>
        </is>
      </c>
      <c r="M859" t="inlineStr">
        <is>
          <t>1986</t>
        </is>
      </c>
      <c r="O859" t="inlineStr">
        <is>
          <t>eng</t>
        </is>
      </c>
      <c r="P859" t="inlineStr">
        <is>
          <t>ilu</t>
        </is>
      </c>
      <c r="R859" t="inlineStr">
        <is>
          <t xml:space="preserve">BF </t>
        </is>
      </c>
      <c r="S859" t="n">
        <v>7</v>
      </c>
      <c r="T859" t="n">
        <v>7</v>
      </c>
      <c r="U859" t="inlineStr">
        <is>
          <t>2003-03-26</t>
        </is>
      </c>
      <c r="V859" t="inlineStr">
        <is>
          <t>2003-03-26</t>
        </is>
      </c>
      <c r="W859" t="inlineStr">
        <is>
          <t>1990-07-26</t>
        </is>
      </c>
      <c r="X859" t="inlineStr">
        <is>
          <t>1990-07-26</t>
        </is>
      </c>
      <c r="Y859" t="n">
        <v>312</v>
      </c>
      <c r="Z859" t="n">
        <v>273</v>
      </c>
      <c r="AA859" t="n">
        <v>344</v>
      </c>
      <c r="AB859" t="n">
        <v>4</v>
      </c>
      <c r="AC859" t="n">
        <v>4</v>
      </c>
      <c r="AD859" t="n">
        <v>11</v>
      </c>
      <c r="AE859" t="n">
        <v>12</v>
      </c>
      <c r="AF859" t="n">
        <v>5</v>
      </c>
      <c r="AG859" t="n">
        <v>6</v>
      </c>
      <c r="AH859" t="n">
        <v>1</v>
      </c>
      <c r="AI859" t="n">
        <v>1</v>
      </c>
      <c r="AJ859" t="n">
        <v>4</v>
      </c>
      <c r="AK859" t="n">
        <v>5</v>
      </c>
      <c r="AL859" t="n">
        <v>3</v>
      </c>
      <c r="AM859" t="n">
        <v>3</v>
      </c>
      <c r="AN859" t="n">
        <v>0</v>
      </c>
      <c r="AO859" t="n">
        <v>0</v>
      </c>
      <c r="AP859" t="inlineStr">
        <is>
          <t>No</t>
        </is>
      </c>
      <c r="AQ859" t="inlineStr">
        <is>
          <t>No</t>
        </is>
      </c>
      <c r="AS859">
        <f>HYPERLINK("https://creighton-primo.hosted.exlibrisgroup.com/primo-explore/search?tab=default_tab&amp;search_scope=EVERYTHING&amp;vid=01CRU&amp;lang=en_US&amp;offset=0&amp;query=any,contains,991000783879702656","Catalog Record")</f>
        <v/>
      </c>
      <c r="AT859">
        <f>HYPERLINK("http://www.worldcat.org/oclc/13121988","WorldCat Record")</f>
        <v/>
      </c>
      <c r="AU859" t="inlineStr">
        <is>
          <t>5651139:eng</t>
        </is>
      </c>
      <c r="AV859" t="inlineStr">
        <is>
          <t>13121988</t>
        </is>
      </c>
      <c r="AW859" t="inlineStr">
        <is>
          <t>991000783879702656</t>
        </is>
      </c>
      <c r="AX859" t="inlineStr">
        <is>
          <t>991000783879702656</t>
        </is>
      </c>
      <c r="AY859" t="inlineStr">
        <is>
          <t>2255911490002656</t>
        </is>
      </c>
      <c r="AZ859" t="inlineStr">
        <is>
          <t>BOOK</t>
        </is>
      </c>
      <c r="BB859" t="inlineStr">
        <is>
          <t>9780873229005</t>
        </is>
      </c>
      <c r="BC859" t="inlineStr">
        <is>
          <t>32285000248301</t>
        </is>
      </c>
      <c r="BD859" t="inlineStr">
        <is>
          <t>893626441</t>
        </is>
      </c>
    </row>
    <row r="860">
      <c r="A860" t="inlineStr">
        <is>
          <t>No</t>
        </is>
      </c>
      <c r="B860" t="inlineStr">
        <is>
          <t>BF637.S8 R79 1985</t>
        </is>
      </c>
      <c r="C860" t="inlineStr">
        <is>
          <t>0                      BF 0637000S  8                  R  79          1985</t>
        </is>
      </c>
      <c r="D860" t="inlineStr">
        <is>
          <t>Overcoming indecisiveness : the eight stages of effective decisionmaking / by Theodore Isaac Rubin.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K860" t="inlineStr">
        <is>
          <t>Rubin, Theodore Isaac.</t>
        </is>
      </c>
      <c r="L860" t="inlineStr">
        <is>
          <t>New York : Harper &amp; Row, c1985.</t>
        </is>
      </c>
      <c r="M860" t="inlineStr">
        <is>
          <t>1985</t>
        </is>
      </c>
      <c r="N860" t="inlineStr">
        <is>
          <t>1st ed.</t>
        </is>
      </c>
      <c r="O860" t="inlineStr">
        <is>
          <t>eng</t>
        </is>
      </c>
      <c r="P860" t="inlineStr">
        <is>
          <t>nyu</t>
        </is>
      </c>
      <c r="R860" t="inlineStr">
        <is>
          <t xml:space="preserve">BF </t>
        </is>
      </c>
      <c r="S860" t="n">
        <v>10</v>
      </c>
      <c r="T860" t="n">
        <v>10</v>
      </c>
      <c r="U860" t="inlineStr">
        <is>
          <t>1998-03-01</t>
        </is>
      </c>
      <c r="V860" t="inlineStr">
        <is>
          <t>1998-03-01</t>
        </is>
      </c>
      <c r="W860" t="inlineStr">
        <is>
          <t>1993-04-01</t>
        </is>
      </c>
      <c r="X860" t="inlineStr">
        <is>
          <t>1993-04-01</t>
        </is>
      </c>
      <c r="Y860" t="n">
        <v>999</v>
      </c>
      <c r="Z860" t="n">
        <v>960</v>
      </c>
      <c r="AA860" t="n">
        <v>1025</v>
      </c>
      <c r="AB860" t="n">
        <v>4</v>
      </c>
      <c r="AC860" t="n">
        <v>5</v>
      </c>
      <c r="AD860" t="n">
        <v>10</v>
      </c>
      <c r="AE860" t="n">
        <v>12</v>
      </c>
      <c r="AF860" t="n">
        <v>6</v>
      </c>
      <c r="AG860" t="n">
        <v>8</v>
      </c>
      <c r="AH860" t="n">
        <v>2</v>
      </c>
      <c r="AI860" t="n">
        <v>2</v>
      </c>
      <c r="AJ860" t="n">
        <v>4</v>
      </c>
      <c r="AK860" t="n">
        <v>5</v>
      </c>
      <c r="AL860" t="n">
        <v>0</v>
      </c>
      <c r="AM860" t="n">
        <v>0</v>
      </c>
      <c r="AN860" t="n">
        <v>0</v>
      </c>
      <c r="AO860" t="n">
        <v>0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HYPERLINK("http://catalog.hathitrust.org/Record/000606124","HathiTrust Record")</f>
        <v/>
      </c>
      <c r="AS860">
        <f>HYPERLINK("https://creighton-primo.hosted.exlibrisgroup.com/primo-explore/search?tab=default_tab&amp;search_scope=EVERYTHING&amp;vid=01CRU&amp;lang=en_US&amp;offset=0&amp;query=any,contains,991000488969702656","Catalog Record")</f>
        <v/>
      </c>
      <c r="AT860">
        <f>HYPERLINK("http://www.worldcat.org/oclc/11091021","WorldCat Record")</f>
        <v/>
      </c>
      <c r="AU860" t="inlineStr">
        <is>
          <t>4096784:eng</t>
        </is>
      </c>
      <c r="AV860" t="inlineStr">
        <is>
          <t>11091021</t>
        </is>
      </c>
      <c r="AW860" t="inlineStr">
        <is>
          <t>991000488969702656</t>
        </is>
      </c>
      <c r="AX860" t="inlineStr">
        <is>
          <t>991000488969702656</t>
        </is>
      </c>
      <c r="AY860" t="inlineStr">
        <is>
          <t>2270777330002656</t>
        </is>
      </c>
      <c r="AZ860" t="inlineStr">
        <is>
          <t>BOOK</t>
        </is>
      </c>
      <c r="BB860" t="inlineStr">
        <is>
          <t>9780060153168</t>
        </is>
      </c>
      <c r="BC860" t="inlineStr">
        <is>
          <t>32285001598472</t>
        </is>
      </c>
      <c r="BD860" t="inlineStr">
        <is>
          <t>893865391</t>
        </is>
      </c>
    </row>
    <row r="861">
      <c r="A861" t="inlineStr">
        <is>
          <t>No</t>
        </is>
      </c>
      <c r="B861" t="inlineStr">
        <is>
          <t>BF637.S8 S339</t>
        </is>
      </c>
      <c r="C861" t="inlineStr">
        <is>
          <t>0                      BF 0637000S  8                  S  339</t>
        </is>
      </c>
      <c r="D861" t="inlineStr">
        <is>
          <t>Help yourself : a guide to self-change / Jerry A. Schmidt.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K861" t="inlineStr">
        <is>
          <t>Schmidt, Jerry, 1945-</t>
        </is>
      </c>
      <c r="L861" t="inlineStr">
        <is>
          <t>Champaign, Ill. : Research Press, c1976.</t>
        </is>
      </c>
      <c r="M861" t="inlineStr">
        <is>
          <t>1976</t>
        </is>
      </c>
      <c r="O861" t="inlineStr">
        <is>
          <t>eng</t>
        </is>
      </c>
      <c r="P861" t="inlineStr">
        <is>
          <t>ilu</t>
        </is>
      </c>
      <c r="R861" t="inlineStr">
        <is>
          <t xml:space="preserve">BF </t>
        </is>
      </c>
      <c r="S861" t="n">
        <v>3</v>
      </c>
      <c r="T861" t="n">
        <v>3</v>
      </c>
      <c r="U861" t="inlineStr">
        <is>
          <t>2000-06-21</t>
        </is>
      </c>
      <c r="V861" t="inlineStr">
        <is>
          <t>2000-06-21</t>
        </is>
      </c>
      <c r="W861" t="inlineStr">
        <is>
          <t>1993-04-26</t>
        </is>
      </c>
      <c r="X861" t="inlineStr">
        <is>
          <t>1993-04-26</t>
        </is>
      </c>
      <c r="Y861" t="n">
        <v>229</v>
      </c>
      <c r="Z861" t="n">
        <v>189</v>
      </c>
      <c r="AA861" t="n">
        <v>196</v>
      </c>
      <c r="AB861" t="n">
        <v>5</v>
      </c>
      <c r="AC861" t="n">
        <v>5</v>
      </c>
      <c r="AD861" t="n">
        <v>10</v>
      </c>
      <c r="AE861" t="n">
        <v>10</v>
      </c>
      <c r="AF861" t="n">
        <v>4</v>
      </c>
      <c r="AG861" t="n">
        <v>4</v>
      </c>
      <c r="AH861" t="n">
        <v>1</v>
      </c>
      <c r="AI861" t="n">
        <v>1</v>
      </c>
      <c r="AJ861" t="n">
        <v>3</v>
      </c>
      <c r="AK861" t="n">
        <v>3</v>
      </c>
      <c r="AL861" t="n">
        <v>4</v>
      </c>
      <c r="AM861" t="n">
        <v>4</v>
      </c>
      <c r="AN861" t="n">
        <v>0</v>
      </c>
      <c r="AO861" t="n">
        <v>0</v>
      </c>
      <c r="AP861" t="inlineStr">
        <is>
          <t>No</t>
        </is>
      </c>
      <c r="AQ861" t="inlineStr">
        <is>
          <t>Yes</t>
        </is>
      </c>
      <c r="AR861">
        <f>HYPERLINK("http://catalog.hathitrust.org/Record/000085510","HathiTrust Record")</f>
        <v/>
      </c>
      <c r="AS861">
        <f>HYPERLINK("https://creighton-primo.hosted.exlibrisgroup.com/primo-explore/search?tab=default_tab&amp;search_scope=EVERYTHING&amp;vid=01CRU&amp;lang=en_US&amp;offset=0&amp;query=any,contains,991004164969702656","Catalog Record")</f>
        <v/>
      </c>
      <c r="AT861">
        <f>HYPERLINK("http://www.worldcat.org/oclc/2563584","WorldCat Record")</f>
        <v/>
      </c>
      <c r="AU861" t="inlineStr">
        <is>
          <t>537820:eng</t>
        </is>
      </c>
      <c r="AV861" t="inlineStr">
        <is>
          <t>2563584</t>
        </is>
      </c>
      <c r="AW861" t="inlineStr">
        <is>
          <t>991004164969702656</t>
        </is>
      </c>
      <c r="AX861" t="inlineStr">
        <is>
          <t>991004164969702656</t>
        </is>
      </c>
      <c r="AY861" t="inlineStr">
        <is>
          <t>2257747290002656</t>
        </is>
      </c>
      <c r="AZ861" t="inlineStr">
        <is>
          <t>BOOK</t>
        </is>
      </c>
      <c r="BB861" t="inlineStr">
        <is>
          <t>9780878221295</t>
        </is>
      </c>
      <c r="BC861" t="inlineStr">
        <is>
          <t>32285001624344</t>
        </is>
      </c>
      <c r="BD861" t="inlineStr">
        <is>
          <t>893712231</t>
        </is>
      </c>
    </row>
    <row r="862">
      <c r="A862" t="inlineStr">
        <is>
          <t>No</t>
        </is>
      </c>
      <c r="B862" t="inlineStr">
        <is>
          <t>BF637.T5 M3</t>
        </is>
      </c>
      <c r="C862" t="inlineStr">
        <is>
          <t>0                      BF 0637000T  5                  M  3</t>
        </is>
      </c>
      <c r="D862" t="inlineStr">
        <is>
          <t>The management of time.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McCay, James T.</t>
        </is>
      </c>
      <c r="L862" t="inlineStr">
        <is>
          <t>Englewood Cliffs, N.J. : Prentice-Hall, [1959]</t>
        </is>
      </c>
      <c r="M862" t="inlineStr">
        <is>
          <t>1959</t>
        </is>
      </c>
      <c r="O862" t="inlineStr">
        <is>
          <t>eng</t>
        </is>
      </c>
      <c r="P862" t="inlineStr">
        <is>
          <t>nju</t>
        </is>
      </c>
      <c r="R862" t="inlineStr">
        <is>
          <t xml:space="preserve">BF </t>
        </is>
      </c>
      <c r="S862" t="n">
        <v>19</v>
      </c>
      <c r="T862" t="n">
        <v>19</v>
      </c>
      <c r="U862" t="inlineStr">
        <is>
          <t>2008-03-25</t>
        </is>
      </c>
      <c r="V862" t="inlineStr">
        <is>
          <t>2008-03-25</t>
        </is>
      </c>
      <c r="W862" t="inlineStr">
        <is>
          <t>1990-02-26</t>
        </is>
      </c>
      <c r="X862" t="inlineStr">
        <is>
          <t>1990-02-26</t>
        </is>
      </c>
      <c r="Y862" t="n">
        <v>812</v>
      </c>
      <c r="Z862" t="n">
        <v>723</v>
      </c>
      <c r="AA862" t="n">
        <v>836</v>
      </c>
      <c r="AB862" t="n">
        <v>9</v>
      </c>
      <c r="AC862" t="n">
        <v>10</v>
      </c>
      <c r="AD862" t="n">
        <v>28</v>
      </c>
      <c r="AE862" t="n">
        <v>34</v>
      </c>
      <c r="AF862" t="n">
        <v>11</v>
      </c>
      <c r="AG862" t="n">
        <v>13</v>
      </c>
      <c r="AH862" t="n">
        <v>4</v>
      </c>
      <c r="AI862" t="n">
        <v>6</v>
      </c>
      <c r="AJ862" t="n">
        <v>12</v>
      </c>
      <c r="AK862" t="n">
        <v>15</v>
      </c>
      <c r="AL862" t="n">
        <v>5</v>
      </c>
      <c r="AM862" t="n">
        <v>6</v>
      </c>
      <c r="AN862" t="n">
        <v>1</v>
      </c>
      <c r="AO862" t="n">
        <v>1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HYPERLINK("http://catalog.hathitrust.org/Record/007119090","HathiTrust Record")</f>
        <v/>
      </c>
      <c r="AS862">
        <f>HYPERLINK("https://creighton-primo.hosted.exlibrisgroup.com/primo-explore/search?tab=default_tab&amp;search_scope=EVERYTHING&amp;vid=01CRU&amp;lang=en_US&amp;offset=0&amp;query=any,contains,991002872159702656","Catalog Record")</f>
        <v/>
      </c>
      <c r="AT862">
        <f>HYPERLINK("http://www.worldcat.org/oclc/500211","WorldCat Record")</f>
        <v/>
      </c>
      <c r="AU862" t="inlineStr">
        <is>
          <t>411474:eng</t>
        </is>
      </c>
      <c r="AV862" t="inlineStr">
        <is>
          <t>500211</t>
        </is>
      </c>
      <c r="AW862" t="inlineStr">
        <is>
          <t>991002872159702656</t>
        </is>
      </c>
      <c r="AX862" t="inlineStr">
        <is>
          <t>991002872159702656</t>
        </is>
      </c>
      <c r="AY862" t="inlineStr">
        <is>
          <t>2254937870002656</t>
        </is>
      </c>
      <c r="AZ862" t="inlineStr">
        <is>
          <t>BOOK</t>
        </is>
      </c>
      <c r="BC862" t="inlineStr">
        <is>
          <t>32285000062462</t>
        </is>
      </c>
      <c r="BD862" t="inlineStr">
        <is>
          <t>893710779</t>
        </is>
      </c>
    </row>
    <row r="863">
      <c r="A863" t="inlineStr">
        <is>
          <t>No</t>
        </is>
      </c>
      <c r="B863" t="inlineStr">
        <is>
          <t>BF637.V47 E43 1980</t>
        </is>
      </c>
      <c r="C863" t="inlineStr">
        <is>
          <t>0                      BF 0637000V  47                 E  43          1980</t>
        </is>
      </c>
      <c r="D863" t="inlineStr">
        <is>
          <t>The gentle art of verbal self-defense / Suzette Haden Elgin.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Elgin, Suzette Haden.</t>
        </is>
      </c>
      <c r="L863" t="inlineStr">
        <is>
          <t>[New York] : Dorset Press, c1980.</t>
        </is>
      </c>
      <c r="M863" t="inlineStr">
        <is>
          <t>1980</t>
        </is>
      </c>
      <c r="O863" t="inlineStr">
        <is>
          <t>eng</t>
        </is>
      </c>
      <c r="P863" t="inlineStr">
        <is>
          <t>nyu</t>
        </is>
      </c>
      <c r="R863" t="inlineStr">
        <is>
          <t xml:space="preserve">BF </t>
        </is>
      </c>
      <c r="S863" t="n">
        <v>1</v>
      </c>
      <c r="T863" t="n">
        <v>1</v>
      </c>
      <c r="U863" t="inlineStr">
        <is>
          <t>2009-07-28</t>
        </is>
      </c>
      <c r="V863" t="inlineStr">
        <is>
          <t>2009-07-28</t>
        </is>
      </c>
      <c r="W863" t="inlineStr">
        <is>
          <t>2009-07-27</t>
        </is>
      </c>
      <c r="X863" t="inlineStr">
        <is>
          <t>2009-07-27</t>
        </is>
      </c>
      <c r="Y863" t="n">
        <v>394</v>
      </c>
      <c r="Z863" t="n">
        <v>356</v>
      </c>
      <c r="AA863" t="n">
        <v>1366</v>
      </c>
      <c r="AB863" t="n">
        <v>1</v>
      </c>
      <c r="AC863" t="n">
        <v>8</v>
      </c>
      <c r="AD863" t="n">
        <v>3</v>
      </c>
      <c r="AE863" t="n">
        <v>18</v>
      </c>
      <c r="AF863" t="n">
        <v>0</v>
      </c>
      <c r="AG863" t="n">
        <v>4</v>
      </c>
      <c r="AH863" t="n">
        <v>1</v>
      </c>
      <c r="AI863" t="n">
        <v>5</v>
      </c>
      <c r="AJ863" t="n">
        <v>1</v>
      </c>
      <c r="AK863" t="n">
        <v>9</v>
      </c>
      <c r="AL863" t="n">
        <v>0</v>
      </c>
      <c r="AM863" t="n">
        <v>3</v>
      </c>
      <c r="AN863" t="n">
        <v>2</v>
      </c>
      <c r="AO863" t="n">
        <v>2</v>
      </c>
      <c r="AP863" t="inlineStr">
        <is>
          <t>No</t>
        </is>
      </c>
      <c r="AQ863" t="inlineStr">
        <is>
          <t>No</t>
        </is>
      </c>
      <c r="AS863">
        <f>HYPERLINK("https://creighton-primo.hosted.exlibrisgroup.com/primo-explore/search?tab=default_tab&amp;search_scope=EVERYTHING&amp;vid=01CRU&amp;lang=en_US&amp;offset=0&amp;query=any,contains,991005328039702656","Catalog Record")</f>
        <v/>
      </c>
      <c r="AT863">
        <f>HYPERLINK("http://www.worldcat.org/oclc/31451669","WorldCat Record")</f>
        <v/>
      </c>
      <c r="AU863" t="inlineStr">
        <is>
          <t>20432759:eng</t>
        </is>
      </c>
      <c r="AV863" t="inlineStr">
        <is>
          <t>31451669</t>
        </is>
      </c>
      <c r="AW863" t="inlineStr">
        <is>
          <t>991005328039702656</t>
        </is>
      </c>
      <c r="AX863" t="inlineStr">
        <is>
          <t>991005328039702656</t>
        </is>
      </c>
      <c r="AY863" t="inlineStr">
        <is>
          <t>2266495900002656</t>
        </is>
      </c>
      <c r="AZ863" t="inlineStr">
        <is>
          <t>BOOK</t>
        </is>
      </c>
      <c r="BB863" t="inlineStr">
        <is>
          <t>9780880290302</t>
        </is>
      </c>
      <c r="BC863" t="inlineStr">
        <is>
          <t>32285005539464</t>
        </is>
      </c>
      <c r="BD863" t="inlineStr">
        <is>
          <t>893230534</t>
        </is>
      </c>
    </row>
    <row r="864">
      <c r="A864" t="inlineStr">
        <is>
          <t>No</t>
        </is>
      </c>
      <c r="B864" t="inlineStr">
        <is>
          <t>BF671 .D48 1984</t>
        </is>
      </c>
      <c r="C864" t="inlineStr">
        <is>
          <t>0                      BF 0671000D  48          1984</t>
        </is>
      </c>
      <c r="D864" t="inlineStr">
        <is>
          <t>Comparative psychology in the twentieth century / Donald A. Dewsbury.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Dewsbury, Donald A., 1939-</t>
        </is>
      </c>
      <c r="L864" t="inlineStr">
        <is>
          <t>Stroudsburg, Pa. : Hutchinson Ross Pub. Co. ; New York, NY : Distributed worldwide by Van Nostrand Reinhold, c1984.</t>
        </is>
      </c>
      <c r="M864" t="inlineStr">
        <is>
          <t>1984</t>
        </is>
      </c>
      <c r="O864" t="inlineStr">
        <is>
          <t>eng</t>
        </is>
      </c>
      <c r="P864" t="inlineStr">
        <is>
          <t>pau</t>
        </is>
      </c>
      <c r="R864" t="inlineStr">
        <is>
          <t xml:space="preserve">BF </t>
        </is>
      </c>
      <c r="S864" t="n">
        <v>5</v>
      </c>
      <c r="T864" t="n">
        <v>5</v>
      </c>
      <c r="U864" t="inlineStr">
        <is>
          <t>2000-08-22</t>
        </is>
      </c>
      <c r="V864" t="inlineStr">
        <is>
          <t>2000-08-22</t>
        </is>
      </c>
      <c r="W864" t="inlineStr">
        <is>
          <t>1993-04-01</t>
        </is>
      </c>
      <c r="X864" t="inlineStr">
        <is>
          <t>1993-04-01</t>
        </is>
      </c>
      <c r="Y864" t="n">
        <v>348</v>
      </c>
      <c r="Z864" t="n">
        <v>278</v>
      </c>
      <c r="AA864" t="n">
        <v>362</v>
      </c>
      <c r="AB864" t="n">
        <v>3</v>
      </c>
      <c r="AC864" t="n">
        <v>4</v>
      </c>
      <c r="AD864" t="n">
        <v>14</v>
      </c>
      <c r="AE864" t="n">
        <v>20</v>
      </c>
      <c r="AF864" t="n">
        <v>1</v>
      </c>
      <c r="AG864" t="n">
        <v>3</v>
      </c>
      <c r="AH864" t="n">
        <v>5</v>
      </c>
      <c r="AI864" t="n">
        <v>5</v>
      </c>
      <c r="AJ864" t="n">
        <v>8</v>
      </c>
      <c r="AK864" t="n">
        <v>11</v>
      </c>
      <c r="AL864" t="n">
        <v>2</v>
      </c>
      <c r="AM864" t="n">
        <v>3</v>
      </c>
      <c r="AN864" t="n">
        <v>0</v>
      </c>
      <c r="AO864" t="n">
        <v>0</v>
      </c>
      <c r="AP864" t="inlineStr">
        <is>
          <t>No</t>
        </is>
      </c>
      <c r="AQ864" t="inlineStr">
        <is>
          <t>Yes</t>
        </is>
      </c>
      <c r="AR864">
        <f>HYPERLINK("http://catalog.hathitrust.org/Record/000243230","HathiTrust Record")</f>
        <v/>
      </c>
      <c r="AS864">
        <f>HYPERLINK("https://creighton-primo.hosted.exlibrisgroup.com/primo-explore/search?tab=default_tab&amp;search_scope=EVERYTHING&amp;vid=01CRU&amp;lang=en_US&amp;offset=0&amp;query=any,contains,991000242699702656","Catalog Record")</f>
        <v/>
      </c>
      <c r="AT864">
        <f>HYPERLINK("http://www.worldcat.org/oclc/9685668","WorldCat Record")</f>
        <v/>
      </c>
      <c r="AU864" t="inlineStr">
        <is>
          <t>1498534:eng</t>
        </is>
      </c>
      <c r="AV864" t="inlineStr">
        <is>
          <t>9685668</t>
        </is>
      </c>
      <c r="AW864" t="inlineStr">
        <is>
          <t>991000242699702656</t>
        </is>
      </c>
      <c r="AX864" t="inlineStr">
        <is>
          <t>991000242699702656</t>
        </is>
      </c>
      <c r="AY864" t="inlineStr">
        <is>
          <t>2263226250002656</t>
        </is>
      </c>
      <c r="AZ864" t="inlineStr">
        <is>
          <t>BOOK</t>
        </is>
      </c>
      <c r="BB864" t="inlineStr">
        <is>
          <t>9780879331085</t>
        </is>
      </c>
      <c r="BC864" t="inlineStr">
        <is>
          <t>32285001598530</t>
        </is>
      </c>
      <c r="BD864" t="inlineStr">
        <is>
          <t>893407047</t>
        </is>
      </c>
    </row>
    <row r="865">
      <c r="A865" t="inlineStr">
        <is>
          <t>No</t>
        </is>
      </c>
      <c r="B865" t="inlineStr">
        <is>
          <t>BF671 .R3</t>
        </is>
      </c>
      <c r="C865" t="inlineStr">
        <is>
          <t>0                      BF 0671000R  3</t>
        </is>
      </c>
      <c r="D865" t="inlineStr">
        <is>
          <t>Comparative psychology; research in animal behavior, by Stanley C. Ratner, and M. Ray Denny.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Ratner, Stanley C.</t>
        </is>
      </c>
      <c r="L865" t="inlineStr">
        <is>
          <t>Homewood, Ill., Dorsey Press, 1964.</t>
        </is>
      </c>
      <c r="M865" t="inlineStr">
        <is>
          <t>1964</t>
        </is>
      </c>
      <c r="O865" t="inlineStr">
        <is>
          <t>eng</t>
        </is>
      </c>
      <c r="P865" t="inlineStr">
        <is>
          <t>ilu</t>
        </is>
      </c>
      <c r="Q865" t="inlineStr">
        <is>
          <t>The Dorsey series in psychology</t>
        </is>
      </c>
      <c r="R865" t="inlineStr">
        <is>
          <t xml:space="preserve">BF </t>
        </is>
      </c>
      <c r="S865" t="n">
        <v>1</v>
      </c>
      <c r="T865" t="n">
        <v>1</v>
      </c>
      <c r="U865" t="inlineStr">
        <is>
          <t>2001-01-28</t>
        </is>
      </c>
      <c r="V865" t="inlineStr">
        <is>
          <t>2001-01-28</t>
        </is>
      </c>
      <c r="W865" t="inlineStr">
        <is>
          <t>1996-08-01</t>
        </is>
      </c>
      <c r="X865" t="inlineStr">
        <is>
          <t>1996-08-01</t>
        </is>
      </c>
      <c r="Y865" t="n">
        <v>412</v>
      </c>
      <c r="Z865" t="n">
        <v>342</v>
      </c>
      <c r="AA865" t="n">
        <v>343</v>
      </c>
      <c r="AB865" t="n">
        <v>3</v>
      </c>
      <c r="AC865" t="n">
        <v>3</v>
      </c>
      <c r="AD865" t="n">
        <v>18</v>
      </c>
      <c r="AE865" t="n">
        <v>18</v>
      </c>
      <c r="AF865" t="n">
        <v>7</v>
      </c>
      <c r="AG865" t="n">
        <v>7</v>
      </c>
      <c r="AH865" t="n">
        <v>4</v>
      </c>
      <c r="AI865" t="n">
        <v>4</v>
      </c>
      <c r="AJ865" t="n">
        <v>13</v>
      </c>
      <c r="AK865" t="n">
        <v>13</v>
      </c>
      <c r="AL865" t="n">
        <v>2</v>
      </c>
      <c r="AM865" t="n">
        <v>2</v>
      </c>
      <c r="AN865" t="n">
        <v>0</v>
      </c>
      <c r="AO865" t="n">
        <v>0</v>
      </c>
      <c r="AP865" t="inlineStr">
        <is>
          <t>No</t>
        </is>
      </c>
      <c r="AQ865" t="inlineStr">
        <is>
          <t>No</t>
        </is>
      </c>
      <c r="AS865">
        <f>HYPERLINK("https://creighton-primo.hosted.exlibrisgroup.com/primo-explore/search?tab=default_tab&amp;search_scope=EVERYTHING&amp;vid=01CRU&amp;lang=en_US&amp;offset=0&amp;query=any,contains,991003150559702656","Catalog Record")</f>
        <v/>
      </c>
      <c r="AT865">
        <f>HYPERLINK("http://www.worldcat.org/oclc/689990","WorldCat Record")</f>
        <v/>
      </c>
      <c r="AU865" t="inlineStr">
        <is>
          <t>9593702650:eng</t>
        </is>
      </c>
      <c r="AV865" t="inlineStr">
        <is>
          <t>689990</t>
        </is>
      </c>
      <c r="AW865" t="inlineStr">
        <is>
          <t>991003150559702656</t>
        </is>
      </c>
      <c r="AX865" t="inlineStr">
        <is>
          <t>991003150559702656</t>
        </is>
      </c>
      <c r="AY865" t="inlineStr">
        <is>
          <t>2272604920002656</t>
        </is>
      </c>
      <c r="AZ865" t="inlineStr">
        <is>
          <t>BOOK</t>
        </is>
      </c>
      <c r="BC865" t="inlineStr">
        <is>
          <t>32285002252517</t>
        </is>
      </c>
      <c r="BD865" t="inlineStr">
        <is>
          <t>893805481</t>
        </is>
      </c>
    </row>
    <row r="866">
      <c r="A866" t="inlineStr">
        <is>
          <t>No</t>
        </is>
      </c>
      <c r="B866" t="inlineStr">
        <is>
          <t>BF671 .S56 1972</t>
        </is>
      </c>
      <c r="C866" t="inlineStr">
        <is>
          <t>0                      BF 0671000S  56          1972</t>
        </is>
      </c>
      <c r="D866" t="inlineStr">
        <is>
          <t>Early learning in man and animal [by] W. Sluckin.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K866" t="inlineStr">
        <is>
          <t>Sluckin, W.</t>
        </is>
      </c>
      <c r="L866" t="inlineStr">
        <is>
          <t>Cambridge, Mass., Schenkman Pub. Co.; distributed by General Learning Press, [Morristown, N.J., 1972, c1970]</t>
        </is>
      </c>
      <c r="M866" t="inlineStr">
        <is>
          <t>1972</t>
        </is>
      </c>
      <c r="O866" t="inlineStr">
        <is>
          <t>eng</t>
        </is>
      </c>
      <c r="P866" t="inlineStr">
        <is>
          <t>mau</t>
        </is>
      </c>
      <c r="Q866" t="inlineStr">
        <is>
          <t>Advances in psychology series</t>
        </is>
      </c>
      <c r="R866" t="inlineStr">
        <is>
          <t xml:space="preserve">BF </t>
        </is>
      </c>
      <c r="S866" t="n">
        <v>1</v>
      </c>
      <c r="T866" t="n">
        <v>1</v>
      </c>
      <c r="U866" t="inlineStr">
        <is>
          <t>2006-11-20</t>
        </is>
      </c>
      <c r="V866" t="inlineStr">
        <is>
          <t>2006-11-20</t>
        </is>
      </c>
      <c r="W866" t="inlineStr">
        <is>
          <t>1996-08-01</t>
        </is>
      </c>
      <c r="X866" t="inlineStr">
        <is>
          <t>1996-08-01</t>
        </is>
      </c>
      <c r="Y866" t="n">
        <v>176</v>
      </c>
      <c r="Z866" t="n">
        <v>156</v>
      </c>
      <c r="AA866" t="n">
        <v>287</v>
      </c>
      <c r="AB866" t="n">
        <v>3</v>
      </c>
      <c r="AC866" t="n">
        <v>4</v>
      </c>
      <c r="AD866" t="n">
        <v>5</v>
      </c>
      <c r="AE866" t="n">
        <v>9</v>
      </c>
      <c r="AF866" t="n">
        <v>2</v>
      </c>
      <c r="AG866" t="n">
        <v>2</v>
      </c>
      <c r="AH866" t="n">
        <v>2</v>
      </c>
      <c r="AI866" t="n">
        <v>3</v>
      </c>
      <c r="AJ866" t="n">
        <v>1</v>
      </c>
      <c r="AK866" t="n">
        <v>4</v>
      </c>
      <c r="AL866" t="n">
        <v>2</v>
      </c>
      <c r="AM866" t="n">
        <v>3</v>
      </c>
      <c r="AN866" t="n">
        <v>0</v>
      </c>
      <c r="AO866" t="n">
        <v>0</v>
      </c>
      <c r="AP866" t="inlineStr">
        <is>
          <t>No</t>
        </is>
      </c>
      <c r="AQ866" t="inlineStr">
        <is>
          <t>No</t>
        </is>
      </c>
      <c r="AS866">
        <f>HYPERLINK("https://creighton-primo.hosted.exlibrisgroup.com/primo-explore/search?tab=default_tab&amp;search_scope=EVERYTHING&amp;vid=01CRU&amp;lang=en_US&amp;offset=0&amp;query=any,contains,991002552299702656","Catalog Record")</f>
        <v/>
      </c>
      <c r="AT866">
        <f>HYPERLINK("http://www.worldcat.org/oclc/370267","WorldCat Record")</f>
        <v/>
      </c>
      <c r="AU866" t="inlineStr">
        <is>
          <t>1244549:eng</t>
        </is>
      </c>
      <c r="AV866" t="inlineStr">
        <is>
          <t>370267</t>
        </is>
      </c>
      <c r="AW866" t="inlineStr">
        <is>
          <t>991002552299702656</t>
        </is>
      </c>
      <c r="AX866" t="inlineStr">
        <is>
          <t>991002552299702656</t>
        </is>
      </c>
      <c r="AY866" t="inlineStr">
        <is>
          <t>2260403840002656</t>
        </is>
      </c>
      <c r="AZ866" t="inlineStr">
        <is>
          <t>BOOK</t>
        </is>
      </c>
      <c r="BC866" t="inlineStr">
        <is>
          <t>32285002252541</t>
        </is>
      </c>
      <c r="BD866" t="inlineStr">
        <is>
          <t>893804734</t>
        </is>
      </c>
    </row>
    <row r="867">
      <c r="A867" t="inlineStr">
        <is>
          <t>No</t>
        </is>
      </c>
      <c r="B867" t="inlineStr">
        <is>
          <t>BF683 .A85</t>
        </is>
      </c>
      <c r="C867" t="inlineStr">
        <is>
          <t>0                      BF 0683000A  85</t>
        </is>
      </c>
      <c r="D867" t="inlineStr">
        <is>
          <t>Motivation and achievement / by John W. Atkinson and Joel O. Raynor, in collaboration with David Birch [and others]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K867" t="inlineStr">
        <is>
          <t>Atkinson, John W. (John William), 1923-2003.</t>
        </is>
      </c>
      <c r="L867" t="inlineStr">
        <is>
          <t>Washington : Winston ; [distributed by Halsted Press Division, New York], 1974.</t>
        </is>
      </c>
      <c r="M867" t="inlineStr">
        <is>
          <t>1974</t>
        </is>
      </c>
      <c r="O867" t="inlineStr">
        <is>
          <t>eng</t>
        </is>
      </c>
      <c r="P867" t="inlineStr">
        <is>
          <t>dcu</t>
        </is>
      </c>
      <c r="R867" t="inlineStr">
        <is>
          <t xml:space="preserve">BF </t>
        </is>
      </c>
      <c r="S867" t="n">
        <v>2</v>
      </c>
      <c r="T867" t="n">
        <v>2</v>
      </c>
      <c r="U867" t="inlineStr">
        <is>
          <t>2000-06-25</t>
        </is>
      </c>
      <c r="V867" t="inlineStr">
        <is>
          <t>2000-06-25</t>
        </is>
      </c>
      <c r="W867" t="inlineStr">
        <is>
          <t>1994-04-25</t>
        </is>
      </c>
      <c r="X867" t="inlineStr">
        <is>
          <t>1994-04-25</t>
        </is>
      </c>
      <c r="Y867" t="n">
        <v>663</v>
      </c>
      <c r="Z867" t="n">
        <v>510</v>
      </c>
      <c r="AA867" t="n">
        <v>527</v>
      </c>
      <c r="AB867" t="n">
        <v>4</v>
      </c>
      <c r="AC867" t="n">
        <v>4</v>
      </c>
      <c r="AD867" t="n">
        <v>17</v>
      </c>
      <c r="AE867" t="n">
        <v>17</v>
      </c>
      <c r="AF867" t="n">
        <v>4</v>
      </c>
      <c r="AG867" t="n">
        <v>4</v>
      </c>
      <c r="AH867" t="n">
        <v>3</v>
      </c>
      <c r="AI867" t="n">
        <v>3</v>
      </c>
      <c r="AJ867" t="n">
        <v>9</v>
      </c>
      <c r="AK867" t="n">
        <v>9</v>
      </c>
      <c r="AL867" t="n">
        <v>3</v>
      </c>
      <c r="AM867" t="n">
        <v>3</v>
      </c>
      <c r="AN867" t="n">
        <v>0</v>
      </c>
      <c r="AO867" t="n">
        <v>0</v>
      </c>
      <c r="AP867" t="inlineStr">
        <is>
          <t>No</t>
        </is>
      </c>
      <c r="AQ867" t="inlineStr">
        <is>
          <t>Yes</t>
        </is>
      </c>
      <c r="AR867">
        <f>HYPERLINK("http://catalog.hathitrust.org/Record/000011277","HathiTrust Record")</f>
        <v/>
      </c>
      <c r="AS867">
        <f>HYPERLINK("https://creighton-primo.hosted.exlibrisgroup.com/primo-explore/search?tab=default_tab&amp;search_scope=EVERYTHING&amp;vid=01CRU&amp;lang=en_US&amp;offset=0&amp;query=any,contains,991003240959702656","Catalog Record")</f>
        <v/>
      </c>
      <c r="AT867">
        <f>HYPERLINK("http://www.worldcat.org/oclc/763732","WorldCat Record")</f>
        <v/>
      </c>
      <c r="AU867" t="inlineStr">
        <is>
          <t>197850307:eng</t>
        </is>
      </c>
      <c r="AV867" t="inlineStr">
        <is>
          <t>763732</t>
        </is>
      </c>
      <c r="AW867" t="inlineStr">
        <is>
          <t>991003240959702656</t>
        </is>
      </c>
      <c r="AX867" t="inlineStr">
        <is>
          <t>991003240959702656</t>
        </is>
      </c>
      <c r="AY867" t="inlineStr">
        <is>
          <t>2266546320002656</t>
        </is>
      </c>
      <c r="AZ867" t="inlineStr">
        <is>
          <t>BOOK</t>
        </is>
      </c>
      <c r="BB867" t="inlineStr">
        <is>
          <t>9780470036266</t>
        </is>
      </c>
      <c r="BC867" t="inlineStr">
        <is>
          <t>32285001891018</t>
        </is>
      </c>
      <c r="BD867" t="inlineStr">
        <is>
          <t>893246166</t>
        </is>
      </c>
    </row>
    <row r="868">
      <c r="A868" t="inlineStr">
        <is>
          <t>No</t>
        </is>
      </c>
      <c r="B868" t="inlineStr">
        <is>
          <t>BF683 .A88</t>
        </is>
      </c>
      <c r="C868" t="inlineStr">
        <is>
          <t>0                      BF 0683000A  88</t>
        </is>
      </c>
      <c r="D868" t="inlineStr">
        <is>
          <t>A theory of achievement motivation / edited by John W. Atkinson [and] Norman T. Feather.</t>
        </is>
      </c>
      <c r="F868" t="inlineStr">
        <is>
          <t>No</t>
        </is>
      </c>
      <c r="G868" t="inlineStr">
        <is>
          <t>1</t>
        </is>
      </c>
      <c r="H868" t="inlineStr">
        <is>
          <t>No</t>
        </is>
      </c>
      <c r="I868" t="inlineStr">
        <is>
          <t>No</t>
        </is>
      </c>
      <c r="J868" t="inlineStr">
        <is>
          <t>0</t>
        </is>
      </c>
      <c r="K868" t="inlineStr">
        <is>
          <t>Atkinson, John W. (John William), 1923-2003, editor.</t>
        </is>
      </c>
      <c r="L868" t="inlineStr">
        <is>
          <t>New York : Wiley, [1966]</t>
        </is>
      </c>
      <c r="M868" t="inlineStr">
        <is>
          <t>1966</t>
        </is>
      </c>
      <c r="O868" t="inlineStr">
        <is>
          <t>eng</t>
        </is>
      </c>
      <c r="P868" t="inlineStr">
        <is>
          <t>nyu</t>
        </is>
      </c>
      <c r="R868" t="inlineStr">
        <is>
          <t xml:space="preserve">BF </t>
        </is>
      </c>
      <c r="S868" t="n">
        <v>10</v>
      </c>
      <c r="T868" t="n">
        <v>10</v>
      </c>
      <c r="U868" t="inlineStr">
        <is>
          <t>2000-10-07</t>
        </is>
      </c>
      <c r="V868" t="inlineStr">
        <is>
          <t>2000-10-07</t>
        </is>
      </c>
      <c r="W868" t="inlineStr">
        <is>
          <t>1994-02-11</t>
        </is>
      </c>
      <c r="X868" t="inlineStr">
        <is>
          <t>1994-02-11</t>
        </is>
      </c>
      <c r="Y868" t="n">
        <v>690</v>
      </c>
      <c r="Z868" t="n">
        <v>526</v>
      </c>
      <c r="AA868" t="n">
        <v>631</v>
      </c>
      <c r="AB868" t="n">
        <v>4</v>
      </c>
      <c r="AC868" t="n">
        <v>4</v>
      </c>
      <c r="AD868" t="n">
        <v>23</v>
      </c>
      <c r="AE868" t="n">
        <v>31</v>
      </c>
      <c r="AF868" t="n">
        <v>10</v>
      </c>
      <c r="AG868" t="n">
        <v>15</v>
      </c>
      <c r="AH868" t="n">
        <v>6</v>
      </c>
      <c r="AI868" t="n">
        <v>7</v>
      </c>
      <c r="AJ868" t="n">
        <v>13</v>
      </c>
      <c r="AK868" t="n">
        <v>16</v>
      </c>
      <c r="AL868" t="n">
        <v>3</v>
      </c>
      <c r="AM868" t="n">
        <v>3</v>
      </c>
      <c r="AN868" t="n">
        <v>0</v>
      </c>
      <c r="AO868" t="n">
        <v>0</v>
      </c>
      <c r="AP868" t="inlineStr">
        <is>
          <t>No</t>
        </is>
      </c>
      <c r="AQ868" t="inlineStr">
        <is>
          <t>Yes</t>
        </is>
      </c>
      <c r="AR868">
        <f>HYPERLINK("http://catalog.hathitrust.org/Record/000388056","HathiTrust Record")</f>
        <v/>
      </c>
      <c r="AS868">
        <f>HYPERLINK("https://creighton-primo.hosted.exlibrisgroup.com/primo-explore/search?tab=default_tab&amp;search_scope=EVERYTHING&amp;vid=01CRU&amp;lang=en_US&amp;offset=0&amp;query=any,contains,991001375819702656","Catalog Record")</f>
        <v/>
      </c>
      <c r="AT868">
        <f>HYPERLINK("http://www.worldcat.org/oclc/224885","WorldCat Record")</f>
        <v/>
      </c>
      <c r="AU868" t="inlineStr">
        <is>
          <t>1100750217:eng</t>
        </is>
      </c>
      <c r="AV868" t="inlineStr">
        <is>
          <t>224885</t>
        </is>
      </c>
      <c r="AW868" t="inlineStr">
        <is>
          <t>991001375819702656</t>
        </is>
      </c>
      <c r="AX868" t="inlineStr">
        <is>
          <t>991001375819702656</t>
        </is>
      </c>
      <c r="AY868" t="inlineStr">
        <is>
          <t>2263602850002656</t>
        </is>
      </c>
      <c r="AZ868" t="inlineStr">
        <is>
          <t>BOOK</t>
        </is>
      </c>
      <c r="BC868" t="inlineStr">
        <is>
          <t>32285001838167</t>
        </is>
      </c>
      <c r="BD868" t="inlineStr">
        <is>
          <t>893590240</t>
        </is>
      </c>
    </row>
    <row r="869">
      <c r="A869" t="inlineStr">
        <is>
          <t>No</t>
        </is>
      </c>
      <c r="B869" t="inlineStr">
        <is>
          <t>BF683 .B5</t>
        </is>
      </c>
      <c r="C869" t="inlineStr">
        <is>
          <t>0                      BF 0683000B  5</t>
        </is>
      </c>
      <c r="D869" t="inlineStr">
        <is>
          <t>Motivation : a study of action / [by] David Birch [and] Joseph Veroff.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Birch, David.</t>
        </is>
      </c>
      <c r="L869" t="inlineStr">
        <is>
          <t>Belmont, Calif. : Brooks/Cole Pub. Co., [1966]</t>
        </is>
      </c>
      <c r="M869" t="inlineStr">
        <is>
          <t>1966</t>
        </is>
      </c>
      <c r="O869" t="inlineStr">
        <is>
          <t>eng</t>
        </is>
      </c>
      <c r="P869" t="inlineStr">
        <is>
          <t>cau</t>
        </is>
      </c>
      <c r="Q869" t="inlineStr">
        <is>
          <t>Basic concepts in psychology series</t>
        </is>
      </c>
      <c r="R869" t="inlineStr">
        <is>
          <t xml:space="preserve">BF </t>
        </is>
      </c>
      <c r="S869" t="n">
        <v>15</v>
      </c>
      <c r="T869" t="n">
        <v>15</v>
      </c>
      <c r="U869" t="inlineStr">
        <is>
          <t>2000-06-25</t>
        </is>
      </c>
      <c r="V869" t="inlineStr">
        <is>
          <t>2000-06-25</t>
        </is>
      </c>
      <c r="W869" t="inlineStr">
        <is>
          <t>1993-11-08</t>
        </is>
      </c>
      <c r="X869" t="inlineStr">
        <is>
          <t>1993-11-08</t>
        </is>
      </c>
      <c r="Y869" t="n">
        <v>444</v>
      </c>
      <c r="Z869" t="n">
        <v>342</v>
      </c>
      <c r="AA869" t="n">
        <v>350</v>
      </c>
      <c r="AB869" t="n">
        <v>3</v>
      </c>
      <c r="AC869" t="n">
        <v>3</v>
      </c>
      <c r="AD869" t="n">
        <v>14</v>
      </c>
      <c r="AE869" t="n">
        <v>14</v>
      </c>
      <c r="AF869" t="n">
        <v>5</v>
      </c>
      <c r="AG869" t="n">
        <v>5</v>
      </c>
      <c r="AH869" t="n">
        <v>3</v>
      </c>
      <c r="AI869" t="n">
        <v>3</v>
      </c>
      <c r="AJ869" t="n">
        <v>8</v>
      </c>
      <c r="AK869" t="n">
        <v>8</v>
      </c>
      <c r="AL869" t="n">
        <v>2</v>
      </c>
      <c r="AM869" t="n">
        <v>2</v>
      </c>
      <c r="AN869" t="n">
        <v>0</v>
      </c>
      <c r="AO869" t="n">
        <v>0</v>
      </c>
      <c r="AP869" t="inlineStr">
        <is>
          <t>No</t>
        </is>
      </c>
      <c r="AQ869" t="inlineStr">
        <is>
          <t>Yes</t>
        </is>
      </c>
      <c r="AR869">
        <f>HYPERLINK("http://catalog.hathitrust.org/Record/000387909","HathiTrust Record")</f>
        <v/>
      </c>
      <c r="AS869">
        <f>HYPERLINK("https://creighton-primo.hosted.exlibrisgroup.com/primo-explore/search?tab=default_tab&amp;search_scope=EVERYTHING&amp;vid=01CRU&amp;lang=en_US&amp;offset=0&amp;query=any,contains,991001089999702656","Catalog Record")</f>
        <v/>
      </c>
      <c r="AT869">
        <f>HYPERLINK("http://www.worldcat.org/oclc/181229","WorldCat Record")</f>
        <v/>
      </c>
      <c r="AU869" t="inlineStr">
        <is>
          <t>1323539:eng</t>
        </is>
      </c>
      <c r="AV869" t="inlineStr">
        <is>
          <t>181229</t>
        </is>
      </c>
      <c r="AW869" t="inlineStr">
        <is>
          <t>991001089999702656</t>
        </is>
      </c>
      <c r="AX869" t="inlineStr">
        <is>
          <t>991001089999702656</t>
        </is>
      </c>
      <c r="AY869" t="inlineStr">
        <is>
          <t>2272593220002656</t>
        </is>
      </c>
      <c r="AZ869" t="inlineStr">
        <is>
          <t>BOOK</t>
        </is>
      </c>
      <c r="BC869" t="inlineStr">
        <is>
          <t>32285001796878</t>
        </is>
      </c>
      <c r="BD869" t="inlineStr">
        <is>
          <t>893865953</t>
        </is>
      </c>
    </row>
    <row r="870">
      <c r="A870" t="inlineStr">
        <is>
          <t>No</t>
        </is>
      </c>
      <c r="B870" t="inlineStr">
        <is>
          <t>BF683 .C59</t>
        </is>
      </c>
      <c r="C870" t="inlineStr">
        <is>
          <t>0                      BF 0683000C  59</t>
        </is>
      </c>
      <c r="D870" t="inlineStr">
        <is>
          <t>Motivation &amp; emotion / [by] Charles N. Cofer.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No</t>
        </is>
      </c>
      <c r="J870" t="inlineStr">
        <is>
          <t>0</t>
        </is>
      </c>
      <c r="K870" t="inlineStr">
        <is>
          <t>Cofer, Charles Norval.</t>
        </is>
      </c>
      <c r="L870" t="inlineStr">
        <is>
          <t>Glenview, Ill. : Scott, Foresman, [1972]</t>
        </is>
      </c>
      <c r="M870" t="inlineStr">
        <is>
          <t>1972</t>
        </is>
      </c>
      <c r="O870" t="inlineStr">
        <is>
          <t>eng</t>
        </is>
      </c>
      <c r="P870" t="inlineStr">
        <is>
          <t>ilu</t>
        </is>
      </c>
      <c r="Q870" t="inlineStr">
        <is>
          <t>Scott, Foresman basic psychological concepts series</t>
        </is>
      </c>
      <c r="R870" t="inlineStr">
        <is>
          <t xml:space="preserve">BF </t>
        </is>
      </c>
      <c r="S870" t="n">
        <v>7</v>
      </c>
      <c r="T870" t="n">
        <v>7</v>
      </c>
      <c r="U870" t="inlineStr">
        <is>
          <t>2003-10-24</t>
        </is>
      </c>
      <c r="V870" t="inlineStr">
        <is>
          <t>2003-10-24</t>
        </is>
      </c>
      <c r="W870" t="inlineStr">
        <is>
          <t>1993-11-08</t>
        </is>
      </c>
      <c r="X870" t="inlineStr">
        <is>
          <t>1993-11-08</t>
        </is>
      </c>
      <c r="Y870" t="n">
        <v>473</v>
      </c>
      <c r="Z870" t="n">
        <v>377</v>
      </c>
      <c r="AA870" t="n">
        <v>382</v>
      </c>
      <c r="AB870" t="n">
        <v>4</v>
      </c>
      <c r="AC870" t="n">
        <v>4</v>
      </c>
      <c r="AD870" t="n">
        <v>17</v>
      </c>
      <c r="AE870" t="n">
        <v>17</v>
      </c>
      <c r="AF870" t="n">
        <v>5</v>
      </c>
      <c r="AG870" t="n">
        <v>5</v>
      </c>
      <c r="AH870" t="n">
        <v>4</v>
      </c>
      <c r="AI870" t="n">
        <v>4</v>
      </c>
      <c r="AJ870" t="n">
        <v>8</v>
      </c>
      <c r="AK870" t="n">
        <v>8</v>
      </c>
      <c r="AL870" t="n">
        <v>3</v>
      </c>
      <c r="AM870" t="n">
        <v>3</v>
      </c>
      <c r="AN870" t="n">
        <v>0</v>
      </c>
      <c r="AO870" t="n">
        <v>0</v>
      </c>
      <c r="AP870" t="inlineStr">
        <is>
          <t>No</t>
        </is>
      </c>
      <c r="AQ870" t="inlineStr">
        <is>
          <t>No</t>
        </is>
      </c>
      <c r="AS870">
        <f>HYPERLINK("https://creighton-primo.hosted.exlibrisgroup.com/primo-explore/search?tab=default_tab&amp;search_scope=EVERYTHING&amp;vid=01CRU&amp;lang=en_US&amp;offset=0&amp;query=any,contains,991002551639702656","Catalog Record")</f>
        <v/>
      </c>
      <c r="AT870">
        <f>HYPERLINK("http://www.worldcat.org/oclc/369898","WorldCat Record")</f>
        <v/>
      </c>
      <c r="AU870" t="inlineStr">
        <is>
          <t>8908420617:eng</t>
        </is>
      </c>
      <c r="AV870" t="inlineStr">
        <is>
          <t>369898</t>
        </is>
      </c>
      <c r="AW870" t="inlineStr">
        <is>
          <t>991002551639702656</t>
        </is>
      </c>
      <c r="AX870" t="inlineStr">
        <is>
          <t>991002551639702656</t>
        </is>
      </c>
      <c r="AY870" t="inlineStr">
        <is>
          <t>2268145440002656</t>
        </is>
      </c>
      <c r="AZ870" t="inlineStr">
        <is>
          <t>BOOK</t>
        </is>
      </c>
      <c r="BC870" t="inlineStr">
        <is>
          <t>32285001796860</t>
        </is>
      </c>
      <c r="BD870" t="inlineStr">
        <is>
          <t>893341570</t>
        </is>
      </c>
    </row>
    <row r="871">
      <c r="A871" t="inlineStr">
        <is>
          <t>No</t>
        </is>
      </c>
      <c r="B871" t="inlineStr">
        <is>
          <t>BF683 .C6</t>
        </is>
      </c>
      <c r="C871" t="inlineStr">
        <is>
          <t>0                      BF 0683000C  6</t>
        </is>
      </c>
      <c r="D871" t="inlineStr">
        <is>
          <t>Motivation : theory and research / [by] C. N. Cofer [and] M. H. Appley.</t>
        </is>
      </c>
      <c r="F871" t="inlineStr">
        <is>
          <t>No</t>
        </is>
      </c>
      <c r="G871" t="inlineStr">
        <is>
          <t>1</t>
        </is>
      </c>
      <c r="H871" t="inlineStr">
        <is>
          <t>Yes</t>
        </is>
      </c>
      <c r="I871" t="inlineStr">
        <is>
          <t>No</t>
        </is>
      </c>
      <c r="J871" t="inlineStr">
        <is>
          <t>0</t>
        </is>
      </c>
      <c r="K871" t="inlineStr">
        <is>
          <t>Cofer, Charles Norval.</t>
        </is>
      </c>
      <c r="L871" t="inlineStr">
        <is>
          <t>New York : Wiley, [1964]</t>
        </is>
      </c>
      <c r="M871" t="inlineStr">
        <is>
          <t>1964</t>
        </is>
      </c>
      <c r="O871" t="inlineStr">
        <is>
          <t>eng</t>
        </is>
      </c>
      <c r="P871" t="inlineStr">
        <is>
          <t>nyu</t>
        </is>
      </c>
      <c r="R871" t="inlineStr">
        <is>
          <t xml:space="preserve">BF </t>
        </is>
      </c>
      <c r="S871" t="n">
        <v>3</v>
      </c>
      <c r="T871" t="n">
        <v>13</v>
      </c>
      <c r="U871" t="inlineStr">
        <is>
          <t>2003-10-24</t>
        </is>
      </c>
      <c r="V871" t="inlineStr">
        <is>
          <t>2003-10-26</t>
        </is>
      </c>
      <c r="W871" t="inlineStr">
        <is>
          <t>1993-05-28</t>
        </is>
      </c>
      <c r="X871" t="inlineStr">
        <is>
          <t>1993-05-28</t>
        </is>
      </c>
      <c r="Y871" t="n">
        <v>1142</v>
      </c>
      <c r="Z871" t="n">
        <v>899</v>
      </c>
      <c r="AA871" t="n">
        <v>919</v>
      </c>
      <c r="AB871" t="n">
        <v>8</v>
      </c>
      <c r="AC871" t="n">
        <v>8</v>
      </c>
      <c r="AD871" t="n">
        <v>37</v>
      </c>
      <c r="AE871" t="n">
        <v>37</v>
      </c>
      <c r="AF871" t="n">
        <v>14</v>
      </c>
      <c r="AG871" t="n">
        <v>14</v>
      </c>
      <c r="AH871" t="n">
        <v>7</v>
      </c>
      <c r="AI871" t="n">
        <v>7</v>
      </c>
      <c r="AJ871" t="n">
        <v>18</v>
      </c>
      <c r="AK871" t="n">
        <v>18</v>
      </c>
      <c r="AL871" t="n">
        <v>6</v>
      </c>
      <c r="AM871" t="n">
        <v>6</v>
      </c>
      <c r="AN871" t="n">
        <v>0</v>
      </c>
      <c r="AO871" t="n">
        <v>0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HYPERLINK("http://catalog.hathitrust.org/Record/000388088","HathiTrust Record")</f>
        <v/>
      </c>
      <c r="AS871">
        <f>HYPERLINK("https://creighton-primo.hosted.exlibrisgroup.com/primo-explore/search?tab=default_tab&amp;search_scope=EVERYTHING&amp;vid=01CRU&amp;lang=en_US&amp;offset=0&amp;query=any,contains,991003177789702656","Catalog Record")</f>
        <v/>
      </c>
      <c r="AT871">
        <f>HYPERLINK("http://www.worldcat.org/oclc/711104","WorldCat Record")</f>
        <v/>
      </c>
      <c r="AU871" t="inlineStr">
        <is>
          <t>1655898:eng</t>
        </is>
      </c>
      <c r="AV871" t="inlineStr">
        <is>
          <t>711104</t>
        </is>
      </c>
      <c r="AW871" t="inlineStr">
        <is>
          <t>991003177789702656</t>
        </is>
      </c>
      <c r="AX871" t="inlineStr">
        <is>
          <t>991003177789702656</t>
        </is>
      </c>
      <c r="AY871" t="inlineStr">
        <is>
          <t>2264093300002656</t>
        </is>
      </c>
      <c r="AZ871" t="inlineStr">
        <is>
          <t>BOOK</t>
        </is>
      </c>
      <c r="BC871" t="inlineStr">
        <is>
          <t>32285001693448</t>
        </is>
      </c>
      <c r="BD871" t="inlineStr">
        <is>
          <t>893868167</t>
        </is>
      </c>
    </row>
    <row r="872">
      <c r="A872" t="inlineStr">
        <is>
          <t>No</t>
        </is>
      </c>
      <c r="B872" t="inlineStr">
        <is>
          <t>BF683 .C6</t>
        </is>
      </c>
      <c r="C872" t="inlineStr">
        <is>
          <t>0                      BF 0683000C  6</t>
        </is>
      </c>
      <c r="D872" t="inlineStr">
        <is>
          <t>Motivation : theory and research / [by] C. N. Cofer [and] M. H. Appley.</t>
        </is>
      </c>
      <c r="F872" t="inlineStr">
        <is>
          <t>No</t>
        </is>
      </c>
      <c r="G872" t="inlineStr">
        <is>
          <t>1</t>
        </is>
      </c>
      <c r="H872" t="inlineStr">
        <is>
          <t>Yes</t>
        </is>
      </c>
      <c r="I872" t="inlineStr">
        <is>
          <t>No</t>
        </is>
      </c>
      <c r="J872" t="inlineStr">
        <is>
          <t>0</t>
        </is>
      </c>
      <c r="K872" t="inlineStr">
        <is>
          <t>Cofer, Charles Norval.</t>
        </is>
      </c>
      <c r="L872" t="inlineStr">
        <is>
          <t>New York : Wiley, [1964]</t>
        </is>
      </c>
      <c r="M872" t="inlineStr">
        <is>
          <t>1964</t>
        </is>
      </c>
      <c r="O872" t="inlineStr">
        <is>
          <t>eng</t>
        </is>
      </c>
      <c r="P872" t="inlineStr">
        <is>
          <t>nyu</t>
        </is>
      </c>
      <c r="R872" t="inlineStr">
        <is>
          <t xml:space="preserve">BF </t>
        </is>
      </c>
      <c r="S872" t="n">
        <v>10</v>
      </c>
      <c r="T872" t="n">
        <v>13</v>
      </c>
      <c r="U872" t="inlineStr">
        <is>
          <t>2003-10-26</t>
        </is>
      </c>
      <c r="V872" t="inlineStr">
        <is>
          <t>2003-10-26</t>
        </is>
      </c>
      <c r="W872" t="inlineStr">
        <is>
          <t>1993-05-28</t>
        </is>
      </c>
      <c r="X872" t="inlineStr">
        <is>
          <t>1993-05-28</t>
        </is>
      </c>
      <c r="Y872" t="n">
        <v>1142</v>
      </c>
      <c r="Z872" t="n">
        <v>899</v>
      </c>
      <c r="AA872" t="n">
        <v>919</v>
      </c>
      <c r="AB872" t="n">
        <v>8</v>
      </c>
      <c r="AC872" t="n">
        <v>8</v>
      </c>
      <c r="AD872" t="n">
        <v>37</v>
      </c>
      <c r="AE872" t="n">
        <v>37</v>
      </c>
      <c r="AF872" t="n">
        <v>14</v>
      </c>
      <c r="AG872" t="n">
        <v>14</v>
      </c>
      <c r="AH872" t="n">
        <v>7</v>
      </c>
      <c r="AI872" t="n">
        <v>7</v>
      </c>
      <c r="AJ872" t="n">
        <v>18</v>
      </c>
      <c r="AK872" t="n">
        <v>18</v>
      </c>
      <c r="AL872" t="n">
        <v>6</v>
      </c>
      <c r="AM872" t="n">
        <v>6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HYPERLINK("http://catalog.hathitrust.org/Record/000388088","HathiTrust Record")</f>
        <v/>
      </c>
      <c r="AS872">
        <f>HYPERLINK("https://creighton-primo.hosted.exlibrisgroup.com/primo-explore/search?tab=default_tab&amp;search_scope=EVERYTHING&amp;vid=01CRU&amp;lang=en_US&amp;offset=0&amp;query=any,contains,991003177789702656","Catalog Record")</f>
        <v/>
      </c>
      <c r="AT872">
        <f>HYPERLINK("http://www.worldcat.org/oclc/711104","WorldCat Record")</f>
        <v/>
      </c>
      <c r="AU872" t="inlineStr">
        <is>
          <t>1655898:eng</t>
        </is>
      </c>
      <c r="AV872" t="inlineStr">
        <is>
          <t>711104</t>
        </is>
      </c>
      <c r="AW872" t="inlineStr">
        <is>
          <t>991003177789702656</t>
        </is>
      </c>
      <c r="AX872" t="inlineStr">
        <is>
          <t>991003177789702656</t>
        </is>
      </c>
      <c r="AY872" t="inlineStr">
        <is>
          <t>2264093300002656</t>
        </is>
      </c>
      <c r="AZ872" t="inlineStr">
        <is>
          <t>BOOK</t>
        </is>
      </c>
      <c r="BC872" t="inlineStr">
        <is>
          <t>32285001693430</t>
        </is>
      </c>
      <c r="BD872" t="inlineStr">
        <is>
          <t>893893454</t>
        </is>
      </c>
    </row>
    <row r="873">
      <c r="A873" t="inlineStr">
        <is>
          <t>No</t>
        </is>
      </c>
      <c r="B873" t="inlineStr">
        <is>
          <t>BF683 .H6</t>
        </is>
      </c>
      <c r="C873" t="inlineStr">
        <is>
          <t>0                      BF 0683000H  6</t>
        </is>
      </c>
      <c r="D873" t="inlineStr">
        <is>
          <t>The physiological bases of motivation / [by] Jack E. Hokanson.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Hokanson, Jack E.</t>
        </is>
      </c>
      <c r="L873" t="inlineStr">
        <is>
          <t>New York : Wiley, [1969]</t>
        </is>
      </c>
      <c r="M873" t="inlineStr">
        <is>
          <t>1969</t>
        </is>
      </c>
      <c r="O873" t="inlineStr">
        <is>
          <t>eng</t>
        </is>
      </c>
      <c r="P873" t="inlineStr">
        <is>
          <t>nyu</t>
        </is>
      </c>
      <c r="R873" t="inlineStr">
        <is>
          <t xml:space="preserve">BF </t>
        </is>
      </c>
      <c r="S873" t="n">
        <v>12</v>
      </c>
      <c r="T873" t="n">
        <v>12</v>
      </c>
      <c r="U873" t="inlineStr">
        <is>
          <t>2005-11-09</t>
        </is>
      </c>
      <c r="V873" t="inlineStr">
        <is>
          <t>2005-11-09</t>
        </is>
      </c>
      <c r="W873" t="inlineStr">
        <is>
          <t>1992-04-15</t>
        </is>
      </c>
      <c r="X873" t="inlineStr">
        <is>
          <t>1992-04-15</t>
        </is>
      </c>
      <c r="Y873" t="n">
        <v>569</v>
      </c>
      <c r="Z873" t="n">
        <v>434</v>
      </c>
      <c r="AA873" t="n">
        <v>438</v>
      </c>
      <c r="AB873" t="n">
        <v>3</v>
      </c>
      <c r="AC873" t="n">
        <v>3</v>
      </c>
      <c r="AD873" t="n">
        <v>18</v>
      </c>
      <c r="AE873" t="n">
        <v>18</v>
      </c>
      <c r="AF873" t="n">
        <v>6</v>
      </c>
      <c r="AG873" t="n">
        <v>6</v>
      </c>
      <c r="AH873" t="n">
        <v>5</v>
      </c>
      <c r="AI873" t="n">
        <v>5</v>
      </c>
      <c r="AJ873" t="n">
        <v>9</v>
      </c>
      <c r="AK873" t="n">
        <v>9</v>
      </c>
      <c r="AL873" t="n">
        <v>2</v>
      </c>
      <c r="AM873" t="n">
        <v>2</v>
      </c>
      <c r="AN873" t="n">
        <v>0</v>
      </c>
      <c r="AO873" t="n">
        <v>0</v>
      </c>
      <c r="AP873" t="inlineStr">
        <is>
          <t>No</t>
        </is>
      </c>
      <c r="AQ873" t="inlineStr">
        <is>
          <t>Yes</t>
        </is>
      </c>
      <c r="AR873">
        <f>HYPERLINK("http://catalog.hathitrust.org/Record/000425276","HathiTrust Record")</f>
        <v/>
      </c>
      <c r="AS873">
        <f>HYPERLINK("https://creighton-primo.hosted.exlibrisgroup.com/primo-explore/search?tab=default_tab&amp;search_scope=EVERYTHING&amp;vid=01CRU&amp;lang=en_US&amp;offset=0&amp;query=any,contains,991005439229702656","Catalog Record")</f>
        <v/>
      </c>
      <c r="AT873">
        <f>HYPERLINK("http://www.worldcat.org/oclc/6414","WorldCat Record")</f>
        <v/>
      </c>
      <c r="AU873" t="inlineStr">
        <is>
          <t>1129634:eng</t>
        </is>
      </c>
      <c r="AV873" t="inlineStr">
        <is>
          <t>6414</t>
        </is>
      </c>
      <c r="AW873" t="inlineStr">
        <is>
          <t>991005439229702656</t>
        </is>
      </c>
      <c r="AX873" t="inlineStr">
        <is>
          <t>991005439229702656</t>
        </is>
      </c>
      <c r="AY873" t="inlineStr">
        <is>
          <t>2265423790002656</t>
        </is>
      </c>
      <c r="AZ873" t="inlineStr">
        <is>
          <t>BOOK</t>
        </is>
      </c>
      <c r="BB873" t="inlineStr">
        <is>
          <t>9780471406181</t>
        </is>
      </c>
      <c r="BC873" t="inlineStr">
        <is>
          <t>32285001062313</t>
        </is>
      </c>
      <c r="BD873" t="inlineStr">
        <is>
          <t>893595071</t>
        </is>
      </c>
    </row>
    <row r="874">
      <c r="A874" t="inlineStr">
        <is>
          <t>No</t>
        </is>
      </c>
      <c r="B874" t="inlineStr">
        <is>
          <t>BF683 .H8 1967</t>
        </is>
      </c>
      <c r="C874" t="inlineStr">
        <is>
          <t>0                      BF 0683000H  8           1967</t>
        </is>
      </c>
      <c r="D874" t="inlineStr">
        <is>
          <t>Motivation theory for teachers : a programed book / Madeline Hunter.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Hunter, Madeline C.</t>
        </is>
      </c>
      <c r="L874" t="inlineStr">
        <is>
          <t>El Segundo, Calif. : TIP Publications, c1967, 1983 printing.</t>
        </is>
      </c>
      <c r="M874" t="inlineStr">
        <is>
          <t>1967</t>
        </is>
      </c>
      <c r="O874" t="inlineStr">
        <is>
          <t>eng</t>
        </is>
      </c>
      <c r="P874" t="inlineStr">
        <is>
          <t xml:space="preserve">xx </t>
        </is>
      </c>
      <c r="Q874" t="inlineStr">
        <is>
          <t>Theory into practice</t>
        </is>
      </c>
      <c r="R874" t="inlineStr">
        <is>
          <t xml:space="preserve">BF </t>
        </is>
      </c>
      <c r="S874" t="n">
        <v>9</v>
      </c>
      <c r="T874" t="n">
        <v>9</v>
      </c>
      <c r="U874" t="inlineStr">
        <is>
          <t>2006-02-06</t>
        </is>
      </c>
      <c r="V874" t="inlineStr">
        <is>
          <t>2006-02-06</t>
        </is>
      </c>
      <c r="W874" t="inlineStr">
        <is>
          <t>1993-04-05</t>
        </is>
      </c>
      <c r="X874" t="inlineStr">
        <is>
          <t>1993-04-05</t>
        </is>
      </c>
      <c r="Y874" t="n">
        <v>302</v>
      </c>
      <c r="Z874" t="n">
        <v>276</v>
      </c>
      <c r="AA874" t="n">
        <v>401</v>
      </c>
      <c r="AB874" t="n">
        <v>5</v>
      </c>
      <c r="AC874" t="n">
        <v>8</v>
      </c>
      <c r="AD874" t="n">
        <v>10</v>
      </c>
      <c r="AE874" t="n">
        <v>16</v>
      </c>
      <c r="AF874" t="n">
        <v>5</v>
      </c>
      <c r="AG874" t="n">
        <v>8</v>
      </c>
      <c r="AH874" t="n">
        <v>1</v>
      </c>
      <c r="AI874" t="n">
        <v>2</v>
      </c>
      <c r="AJ874" t="n">
        <v>5</v>
      </c>
      <c r="AK874" t="n">
        <v>7</v>
      </c>
      <c r="AL874" t="n">
        <v>3</v>
      </c>
      <c r="AM874" t="n">
        <v>6</v>
      </c>
      <c r="AN874" t="n">
        <v>0</v>
      </c>
      <c r="AO874" t="n">
        <v>0</v>
      </c>
      <c r="AP874" t="inlineStr">
        <is>
          <t>No</t>
        </is>
      </c>
      <c r="AQ874" t="inlineStr">
        <is>
          <t>Yes</t>
        </is>
      </c>
      <c r="AR874">
        <f>HYPERLINK("http://catalog.hathitrust.org/Record/009907686","HathiTrust Record")</f>
        <v/>
      </c>
      <c r="AS874">
        <f>HYPERLINK("https://creighton-primo.hosted.exlibrisgroup.com/primo-explore/search?tab=default_tab&amp;search_scope=EVERYTHING&amp;vid=01CRU&amp;lang=en_US&amp;offset=0&amp;query=any,contains,991004354559702656","Catalog Record")</f>
        <v/>
      </c>
      <c r="AT874">
        <f>HYPERLINK("http://www.worldcat.org/oclc/3131493","WorldCat Record")</f>
        <v/>
      </c>
      <c r="AU874" t="inlineStr">
        <is>
          <t>940946605:eng</t>
        </is>
      </c>
      <c r="AV874" t="inlineStr">
        <is>
          <t>3131493</t>
        </is>
      </c>
      <c r="AW874" t="inlineStr">
        <is>
          <t>991004354559702656</t>
        </is>
      </c>
      <c r="AX874" t="inlineStr">
        <is>
          <t>991004354559702656</t>
        </is>
      </c>
      <c r="AY874" t="inlineStr">
        <is>
          <t>2257790500002656</t>
        </is>
      </c>
      <c r="AZ874" t="inlineStr">
        <is>
          <t>BOOK</t>
        </is>
      </c>
      <c r="BC874" t="inlineStr">
        <is>
          <t>32285001600781</t>
        </is>
      </c>
      <c r="BD874" t="inlineStr">
        <is>
          <t>893628114</t>
        </is>
      </c>
    </row>
    <row r="875">
      <c r="A875" t="inlineStr">
        <is>
          <t>No</t>
        </is>
      </c>
      <c r="B875" t="inlineStr">
        <is>
          <t>BF683 .L6</t>
        </is>
      </c>
      <c r="C875" t="inlineStr">
        <is>
          <t>0                      BF 0683000L  6</t>
        </is>
      </c>
      <c r="D875" t="inlineStr">
        <is>
          <t>Reward and punishment / [by] Frank A. Logan and Allan R. Wagner.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Logan, Frank A.</t>
        </is>
      </c>
      <c r="L875" t="inlineStr">
        <is>
          <t>Boston : Allyn and Bacon, 1965.</t>
        </is>
      </c>
      <c r="M875" t="inlineStr">
        <is>
          <t>1965</t>
        </is>
      </c>
      <c r="O875" t="inlineStr">
        <is>
          <t>eng</t>
        </is>
      </c>
      <c r="P875" t="inlineStr">
        <is>
          <t>mau</t>
        </is>
      </c>
      <c r="Q875" t="inlineStr">
        <is>
          <t>Contemporary topics in experimental psychology</t>
        </is>
      </c>
      <c r="R875" t="inlineStr">
        <is>
          <t xml:space="preserve">BF </t>
        </is>
      </c>
      <c r="S875" t="n">
        <v>10</v>
      </c>
      <c r="T875" t="n">
        <v>10</v>
      </c>
      <c r="U875" t="inlineStr">
        <is>
          <t>2003-02-05</t>
        </is>
      </c>
      <c r="V875" t="inlineStr">
        <is>
          <t>2003-02-05</t>
        </is>
      </c>
      <c r="W875" t="inlineStr">
        <is>
          <t>1993-07-21</t>
        </is>
      </c>
      <c r="X875" t="inlineStr">
        <is>
          <t>1993-07-21</t>
        </is>
      </c>
      <c r="Y875" t="n">
        <v>541</v>
      </c>
      <c r="Z875" t="n">
        <v>458</v>
      </c>
      <c r="AA875" t="n">
        <v>470</v>
      </c>
      <c r="AB875" t="n">
        <v>6</v>
      </c>
      <c r="AC875" t="n">
        <v>6</v>
      </c>
      <c r="AD875" t="n">
        <v>22</v>
      </c>
      <c r="AE875" t="n">
        <v>22</v>
      </c>
      <c r="AF875" t="n">
        <v>11</v>
      </c>
      <c r="AG875" t="n">
        <v>11</v>
      </c>
      <c r="AH875" t="n">
        <v>2</v>
      </c>
      <c r="AI875" t="n">
        <v>2</v>
      </c>
      <c r="AJ875" t="n">
        <v>8</v>
      </c>
      <c r="AK875" t="n">
        <v>8</v>
      </c>
      <c r="AL875" t="n">
        <v>5</v>
      </c>
      <c r="AM875" t="n">
        <v>5</v>
      </c>
      <c r="AN875" t="n">
        <v>0</v>
      </c>
      <c r="AO875" t="n">
        <v>0</v>
      </c>
      <c r="AP875" t="inlineStr">
        <is>
          <t>No</t>
        </is>
      </c>
      <c r="AQ875" t="inlineStr">
        <is>
          <t>Yes</t>
        </is>
      </c>
      <c r="AR875">
        <f>HYPERLINK("http://catalog.hathitrust.org/Record/000227881","HathiTrust Record")</f>
        <v/>
      </c>
      <c r="AS875">
        <f>HYPERLINK("https://creighton-primo.hosted.exlibrisgroup.com/primo-explore/search?tab=default_tab&amp;search_scope=EVERYTHING&amp;vid=01CRU&amp;lang=en_US&amp;offset=0&amp;query=any,contains,991001370519702656","Catalog Record")</f>
        <v/>
      </c>
      <c r="AT875">
        <f>HYPERLINK("http://www.worldcat.org/oclc/223575","WorldCat Record")</f>
        <v/>
      </c>
      <c r="AU875" t="inlineStr">
        <is>
          <t>1331597:eng</t>
        </is>
      </c>
      <c r="AV875" t="inlineStr">
        <is>
          <t>223575</t>
        </is>
      </c>
      <c r="AW875" t="inlineStr">
        <is>
          <t>991001370519702656</t>
        </is>
      </c>
      <c r="AX875" t="inlineStr">
        <is>
          <t>991001370519702656</t>
        </is>
      </c>
      <c r="AY875" t="inlineStr">
        <is>
          <t>2264026920002656</t>
        </is>
      </c>
      <c r="AZ875" t="inlineStr">
        <is>
          <t>BOOK</t>
        </is>
      </c>
      <c r="BC875" t="inlineStr">
        <is>
          <t>32285001724169</t>
        </is>
      </c>
      <c r="BD875" t="inlineStr">
        <is>
          <t>893878836</t>
        </is>
      </c>
    </row>
    <row r="876">
      <c r="A876" t="inlineStr">
        <is>
          <t>No</t>
        </is>
      </c>
      <c r="B876" t="inlineStr">
        <is>
          <t>BF683 .M313 1961</t>
        </is>
      </c>
      <c r="C876" t="inlineStr">
        <is>
          <t>0                      BF 0683000M  313         1961</t>
        </is>
      </c>
      <c r="D876" t="inlineStr">
        <is>
          <t>Theories of motivation : a comparative study of modern theories of motivation / [translated from the Danish by Mrs. and Mr. Arne Hyldkrog]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Madsen, K. B.</t>
        </is>
      </c>
      <c r="L876" t="inlineStr">
        <is>
          <t>Cleveland : H. Allen, 1961.</t>
        </is>
      </c>
      <c r="M876" t="inlineStr">
        <is>
          <t>1961</t>
        </is>
      </c>
      <c r="N876" t="inlineStr">
        <is>
          <t>2d ed.</t>
        </is>
      </c>
      <c r="O876" t="inlineStr">
        <is>
          <t>eng</t>
        </is>
      </c>
      <c r="P876" t="inlineStr">
        <is>
          <t>ohu</t>
        </is>
      </c>
      <c r="Q876" t="inlineStr">
        <is>
          <t>A Series of books in psychology</t>
        </is>
      </c>
      <c r="R876" t="inlineStr">
        <is>
          <t xml:space="preserve">BF </t>
        </is>
      </c>
      <c r="S876" t="n">
        <v>4</v>
      </c>
      <c r="T876" t="n">
        <v>4</v>
      </c>
      <c r="U876" t="inlineStr">
        <is>
          <t>2006-04-11</t>
        </is>
      </c>
      <c r="V876" t="inlineStr">
        <is>
          <t>2006-04-11</t>
        </is>
      </c>
      <c r="W876" t="inlineStr">
        <is>
          <t>1992-04-28</t>
        </is>
      </c>
      <c r="X876" t="inlineStr">
        <is>
          <t>1992-04-28</t>
        </is>
      </c>
      <c r="Y876" t="n">
        <v>192</v>
      </c>
      <c r="Z876" t="n">
        <v>172</v>
      </c>
      <c r="AA876" t="n">
        <v>480</v>
      </c>
      <c r="AB876" t="n">
        <v>2</v>
      </c>
      <c r="AC876" t="n">
        <v>3</v>
      </c>
      <c r="AD876" t="n">
        <v>10</v>
      </c>
      <c r="AE876" t="n">
        <v>28</v>
      </c>
      <c r="AF876" t="n">
        <v>3</v>
      </c>
      <c r="AG876" t="n">
        <v>12</v>
      </c>
      <c r="AH876" t="n">
        <v>3</v>
      </c>
      <c r="AI876" t="n">
        <v>6</v>
      </c>
      <c r="AJ876" t="n">
        <v>6</v>
      </c>
      <c r="AK876" t="n">
        <v>15</v>
      </c>
      <c r="AL876" t="n">
        <v>1</v>
      </c>
      <c r="AM876" t="n">
        <v>2</v>
      </c>
      <c r="AN876" t="n">
        <v>0</v>
      </c>
      <c r="AO876" t="n">
        <v>0</v>
      </c>
      <c r="AP876" t="inlineStr">
        <is>
          <t>No</t>
        </is>
      </c>
      <c r="AQ876" t="inlineStr">
        <is>
          <t>Yes</t>
        </is>
      </c>
      <c r="AR876">
        <f>HYPERLINK("http://catalog.hathitrust.org/Record/009077843","HathiTrust Record")</f>
        <v/>
      </c>
      <c r="AS876">
        <f>HYPERLINK("https://creighton-primo.hosted.exlibrisgroup.com/primo-explore/search?tab=default_tab&amp;search_scope=EVERYTHING&amp;vid=01CRU&amp;lang=en_US&amp;offset=0&amp;query=any,contains,991003992219702656","Catalog Record")</f>
        <v/>
      </c>
      <c r="AT876">
        <f>HYPERLINK("http://www.worldcat.org/oclc/2048823","WorldCat Record")</f>
        <v/>
      </c>
      <c r="AU876" t="inlineStr">
        <is>
          <t>4928021640:eng</t>
        </is>
      </c>
      <c r="AV876" t="inlineStr">
        <is>
          <t>2048823</t>
        </is>
      </c>
      <c r="AW876" t="inlineStr">
        <is>
          <t>991003992219702656</t>
        </is>
      </c>
      <c r="AX876" t="inlineStr">
        <is>
          <t>991003992219702656</t>
        </is>
      </c>
      <c r="AY876" t="inlineStr">
        <is>
          <t>2269316880002656</t>
        </is>
      </c>
      <c r="AZ876" t="inlineStr">
        <is>
          <t>BOOK</t>
        </is>
      </c>
      <c r="BC876" t="inlineStr">
        <is>
          <t>32285001088656</t>
        </is>
      </c>
      <c r="BD876" t="inlineStr">
        <is>
          <t>893605502</t>
        </is>
      </c>
    </row>
    <row r="877">
      <c r="A877" t="inlineStr">
        <is>
          <t>No</t>
        </is>
      </c>
      <c r="B877" t="inlineStr">
        <is>
          <t>BF683 .M54</t>
        </is>
      </c>
      <c r="C877" t="inlineStr">
        <is>
          <t>0                      BF 0683000M  54</t>
        </is>
      </c>
      <c r="D877" t="inlineStr">
        <is>
          <t>Inner conflict and defense, by Daniel R. Miller [and] Guy E. Swanson. In collaboration with Wesley Allinsmith [and others]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K877" t="inlineStr">
        <is>
          <t>Miller, Daniel R.</t>
        </is>
      </c>
      <c r="L877" t="inlineStr">
        <is>
          <t>New York, Holt [1960]</t>
        </is>
      </c>
      <c r="M877" t="inlineStr">
        <is>
          <t>1960</t>
        </is>
      </c>
      <c r="O877" t="inlineStr">
        <is>
          <t>eng</t>
        </is>
      </c>
      <c r="P877" t="inlineStr">
        <is>
          <t>nyu</t>
        </is>
      </c>
      <c r="Q877" t="inlineStr">
        <is>
          <t>A Holt-Dryden book</t>
        </is>
      </c>
      <c r="R877" t="inlineStr">
        <is>
          <t xml:space="preserve">BF </t>
        </is>
      </c>
      <c r="S877" t="n">
        <v>4</v>
      </c>
      <c r="T877" t="n">
        <v>4</v>
      </c>
      <c r="U877" t="inlineStr">
        <is>
          <t>2001-09-12</t>
        </is>
      </c>
      <c r="V877" t="inlineStr">
        <is>
          <t>2001-09-12</t>
        </is>
      </c>
      <c r="W877" t="inlineStr">
        <is>
          <t>1996-08-01</t>
        </is>
      </c>
      <c r="X877" t="inlineStr">
        <is>
          <t>1996-08-01</t>
        </is>
      </c>
      <c r="Y877" t="n">
        <v>434</v>
      </c>
      <c r="Z877" t="n">
        <v>379</v>
      </c>
      <c r="AA877" t="n">
        <v>603</v>
      </c>
      <c r="AB877" t="n">
        <v>5</v>
      </c>
      <c r="AC877" t="n">
        <v>7</v>
      </c>
      <c r="AD877" t="n">
        <v>21</v>
      </c>
      <c r="AE877" t="n">
        <v>28</v>
      </c>
      <c r="AF877" t="n">
        <v>5</v>
      </c>
      <c r="AG877" t="n">
        <v>9</v>
      </c>
      <c r="AH877" t="n">
        <v>7</v>
      </c>
      <c r="AI877" t="n">
        <v>7</v>
      </c>
      <c r="AJ877" t="n">
        <v>10</v>
      </c>
      <c r="AK877" t="n">
        <v>12</v>
      </c>
      <c r="AL877" t="n">
        <v>4</v>
      </c>
      <c r="AM877" t="n">
        <v>6</v>
      </c>
      <c r="AN877" t="n">
        <v>0</v>
      </c>
      <c r="AO877" t="n">
        <v>0</v>
      </c>
      <c r="AP877" t="inlineStr">
        <is>
          <t>No</t>
        </is>
      </c>
      <c r="AQ877" t="inlineStr">
        <is>
          <t>Yes</t>
        </is>
      </c>
      <c r="AR877">
        <f>HYPERLINK("http://catalog.hathitrust.org/Record/000387930","HathiTrust Record")</f>
        <v/>
      </c>
      <c r="AS877">
        <f>HYPERLINK("https://creighton-primo.hosted.exlibrisgroup.com/primo-explore/search?tab=default_tab&amp;search_scope=EVERYTHING&amp;vid=01CRU&amp;lang=en_US&amp;offset=0&amp;query=any,contains,991003402429702656","Catalog Record")</f>
        <v/>
      </c>
      <c r="AT877">
        <f>HYPERLINK("http://www.worldcat.org/oclc/941590","WorldCat Record")</f>
        <v/>
      </c>
      <c r="AU877" t="inlineStr">
        <is>
          <t>1329345:eng</t>
        </is>
      </c>
      <c r="AV877" t="inlineStr">
        <is>
          <t>941590</t>
        </is>
      </c>
      <c r="AW877" t="inlineStr">
        <is>
          <t>991003402429702656</t>
        </is>
      </c>
      <c r="AX877" t="inlineStr">
        <is>
          <t>991003402429702656</t>
        </is>
      </c>
      <c r="AY877" t="inlineStr">
        <is>
          <t>2261060000002656</t>
        </is>
      </c>
      <c r="AZ877" t="inlineStr">
        <is>
          <t>BOOK</t>
        </is>
      </c>
      <c r="BC877" t="inlineStr">
        <is>
          <t>32285002252640</t>
        </is>
      </c>
      <c r="BD877" t="inlineStr">
        <is>
          <t>893711348</t>
        </is>
      </c>
    </row>
    <row r="878">
      <c r="A878" t="inlineStr">
        <is>
          <t>No</t>
        </is>
      </c>
      <c r="B878" t="inlineStr">
        <is>
          <t>BF683 .M8</t>
        </is>
      </c>
      <c r="C878" t="inlineStr">
        <is>
          <t>0                      BF 0683000M  8</t>
        </is>
      </c>
      <c r="D878" t="inlineStr">
        <is>
          <t>Motivation and emotion / [by] Edward J. Murray.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Murray, Edward J.</t>
        </is>
      </c>
      <c r="L878" t="inlineStr">
        <is>
          <t>Englewood Cliffs, N.J. : Prentice-Hall, [1964]</t>
        </is>
      </c>
      <c r="M878" t="inlineStr">
        <is>
          <t>1964</t>
        </is>
      </c>
      <c r="O878" t="inlineStr">
        <is>
          <t>eng</t>
        </is>
      </c>
      <c r="P878" t="inlineStr">
        <is>
          <t>nju</t>
        </is>
      </c>
      <c r="Q878" t="inlineStr">
        <is>
          <t>Foundations of modern psychology series</t>
        </is>
      </c>
      <c r="R878" t="inlineStr">
        <is>
          <t xml:space="preserve">BF </t>
        </is>
      </c>
      <c r="S878" t="n">
        <v>10</v>
      </c>
      <c r="T878" t="n">
        <v>10</v>
      </c>
      <c r="U878" t="inlineStr">
        <is>
          <t>2007-09-07</t>
        </is>
      </c>
      <c r="V878" t="inlineStr">
        <is>
          <t>2007-09-07</t>
        </is>
      </c>
      <c r="W878" t="inlineStr">
        <is>
          <t>1993-03-29</t>
        </is>
      </c>
      <c r="X878" t="inlineStr">
        <is>
          <t>1993-03-29</t>
        </is>
      </c>
      <c r="Y878" t="n">
        <v>955</v>
      </c>
      <c r="Z878" t="n">
        <v>741</v>
      </c>
      <c r="AA878" t="n">
        <v>748</v>
      </c>
      <c r="AB878" t="n">
        <v>5</v>
      </c>
      <c r="AC878" t="n">
        <v>5</v>
      </c>
      <c r="AD878" t="n">
        <v>29</v>
      </c>
      <c r="AE878" t="n">
        <v>29</v>
      </c>
      <c r="AF878" t="n">
        <v>12</v>
      </c>
      <c r="AG878" t="n">
        <v>12</v>
      </c>
      <c r="AH878" t="n">
        <v>7</v>
      </c>
      <c r="AI878" t="n">
        <v>7</v>
      </c>
      <c r="AJ878" t="n">
        <v>14</v>
      </c>
      <c r="AK878" t="n">
        <v>14</v>
      </c>
      <c r="AL878" t="n">
        <v>4</v>
      </c>
      <c r="AM878" t="n">
        <v>4</v>
      </c>
      <c r="AN878" t="n">
        <v>0</v>
      </c>
      <c r="AO878" t="n">
        <v>0</v>
      </c>
      <c r="AP878" t="inlineStr">
        <is>
          <t>No</t>
        </is>
      </c>
      <c r="AQ878" t="inlineStr">
        <is>
          <t>Yes</t>
        </is>
      </c>
      <c r="AR878">
        <f>HYPERLINK("http://catalog.hathitrust.org/Record/000387923","HathiTrust Record")</f>
        <v/>
      </c>
      <c r="AS878">
        <f>HYPERLINK("https://creighton-primo.hosted.exlibrisgroup.com/primo-explore/search?tab=default_tab&amp;search_scope=EVERYTHING&amp;vid=01CRU&amp;lang=en_US&amp;offset=0&amp;query=any,contains,991001370269702656","Catalog Record")</f>
        <v/>
      </c>
      <c r="AT878">
        <f>HYPERLINK("http://www.worldcat.org/oclc/223390","WorldCat Record")</f>
        <v/>
      </c>
      <c r="AU878" t="inlineStr">
        <is>
          <t>1331147:eng</t>
        </is>
      </c>
      <c r="AV878" t="inlineStr">
        <is>
          <t>223390</t>
        </is>
      </c>
      <c r="AW878" t="inlineStr">
        <is>
          <t>991001370269702656</t>
        </is>
      </c>
      <c r="AX878" t="inlineStr">
        <is>
          <t>991001370269702656</t>
        </is>
      </c>
      <c r="AY878" t="inlineStr">
        <is>
          <t>2264105200002656</t>
        </is>
      </c>
      <c r="AZ878" t="inlineStr">
        <is>
          <t>BOOK</t>
        </is>
      </c>
      <c r="BC878" t="inlineStr">
        <is>
          <t>32285001593309</t>
        </is>
      </c>
      <c r="BD878" t="inlineStr">
        <is>
          <t>893340381</t>
        </is>
      </c>
    </row>
    <row r="879">
      <c r="A879" t="inlineStr">
        <is>
          <t>No</t>
        </is>
      </c>
      <c r="B879" t="inlineStr">
        <is>
          <t>BF683 .S75 1965</t>
        </is>
      </c>
      <c r="C879" t="inlineStr">
        <is>
          <t>0                      BF 0683000S  75          1965</t>
        </is>
      </c>
      <c r="D879" t="inlineStr">
        <is>
          <t>Understanding human motivation / compiled and edited by Chalmers L. Stacey and Manfred F. DeMartino.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Stacey, Chalmers L. (Chalmers Leonard), 1909-1995, compiler.</t>
        </is>
      </c>
      <c r="L879" t="inlineStr">
        <is>
          <t>Cleveland : World Pub. Co., [c1965]</t>
        </is>
      </c>
      <c r="M879" t="inlineStr">
        <is>
          <t>1965</t>
        </is>
      </c>
      <c r="N879" t="inlineStr">
        <is>
          <t>Rev. ed.</t>
        </is>
      </c>
      <c r="O879" t="inlineStr">
        <is>
          <t>eng</t>
        </is>
      </c>
      <c r="P879" t="inlineStr">
        <is>
          <t>ohu</t>
        </is>
      </c>
      <c r="R879" t="inlineStr">
        <is>
          <t xml:space="preserve">BF </t>
        </is>
      </c>
      <c r="S879" t="n">
        <v>8</v>
      </c>
      <c r="T879" t="n">
        <v>8</v>
      </c>
      <c r="U879" t="inlineStr">
        <is>
          <t>2001-09-11</t>
        </is>
      </c>
      <c r="V879" t="inlineStr">
        <is>
          <t>2001-09-11</t>
        </is>
      </c>
      <c r="W879" t="inlineStr">
        <is>
          <t>1993-07-01</t>
        </is>
      </c>
      <c r="X879" t="inlineStr">
        <is>
          <t>1993-07-01</t>
        </is>
      </c>
      <c r="Y879" t="n">
        <v>263</v>
      </c>
      <c r="Z879" t="n">
        <v>222</v>
      </c>
      <c r="AA879" t="n">
        <v>598</v>
      </c>
      <c r="AB879" t="n">
        <v>3</v>
      </c>
      <c r="AC879" t="n">
        <v>5</v>
      </c>
      <c r="AD879" t="n">
        <v>12</v>
      </c>
      <c r="AE879" t="n">
        <v>28</v>
      </c>
      <c r="AF879" t="n">
        <v>5</v>
      </c>
      <c r="AG879" t="n">
        <v>11</v>
      </c>
      <c r="AH879" t="n">
        <v>3</v>
      </c>
      <c r="AI879" t="n">
        <v>7</v>
      </c>
      <c r="AJ879" t="n">
        <v>7</v>
      </c>
      <c r="AK879" t="n">
        <v>14</v>
      </c>
      <c r="AL879" t="n">
        <v>2</v>
      </c>
      <c r="AM879" t="n">
        <v>4</v>
      </c>
      <c r="AN879" t="n">
        <v>0</v>
      </c>
      <c r="AO879" t="n">
        <v>0</v>
      </c>
      <c r="AP879" t="inlineStr">
        <is>
          <t>No</t>
        </is>
      </c>
      <c r="AQ879" t="inlineStr">
        <is>
          <t>No</t>
        </is>
      </c>
      <c r="AS879">
        <f>HYPERLINK("https://creighton-primo.hosted.exlibrisgroup.com/primo-explore/search?tab=default_tab&amp;search_scope=EVERYTHING&amp;vid=01CRU&amp;lang=en_US&amp;offset=0&amp;query=any,contains,991001374869702656","Catalog Record")</f>
        <v/>
      </c>
      <c r="AT879">
        <f>HYPERLINK("http://www.worldcat.org/oclc/224679","WorldCat Record")</f>
        <v/>
      </c>
      <c r="AU879" t="inlineStr">
        <is>
          <t>1334530:eng</t>
        </is>
      </c>
      <c r="AV879" t="inlineStr">
        <is>
          <t>224679</t>
        </is>
      </c>
      <c r="AW879" t="inlineStr">
        <is>
          <t>991001374869702656</t>
        </is>
      </c>
      <c r="AX879" t="inlineStr">
        <is>
          <t>991001374869702656</t>
        </is>
      </c>
      <c r="AY879" t="inlineStr">
        <is>
          <t>2263578010002656</t>
        </is>
      </c>
      <c r="AZ879" t="inlineStr">
        <is>
          <t>BOOK</t>
        </is>
      </c>
      <c r="BC879" t="inlineStr">
        <is>
          <t>32285001699759</t>
        </is>
      </c>
      <c r="BD879" t="inlineStr">
        <is>
          <t>893596425</t>
        </is>
      </c>
    </row>
    <row r="880">
      <c r="A880" t="inlineStr">
        <is>
          <t>No</t>
        </is>
      </c>
      <c r="B880" t="inlineStr">
        <is>
          <t>BF683 .T4</t>
        </is>
      </c>
      <c r="C880" t="inlineStr">
        <is>
          <t>0                      BF 0683000T  4</t>
        </is>
      </c>
      <c r="D880" t="inlineStr">
        <is>
          <t>Theories of motiviation in personality and social psychology: an enduring problem in psychology. Selected readings, edited by Richard C. Teevan and Robert C. Birney.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K880" t="inlineStr">
        <is>
          <t>Teevan, Richard C., 1919-2006.</t>
        </is>
      </c>
      <c r="L880" t="inlineStr">
        <is>
          <t>Princeton, N.J., Van Nostrand [1964]</t>
        </is>
      </c>
      <c r="M880" t="inlineStr">
        <is>
          <t>1964</t>
        </is>
      </c>
      <c r="O880" t="inlineStr">
        <is>
          <t>eng</t>
        </is>
      </c>
      <c r="P880" t="inlineStr">
        <is>
          <t>nju</t>
        </is>
      </c>
      <c r="Q880" t="inlineStr">
        <is>
          <t>An Insight book, 20</t>
        </is>
      </c>
      <c r="R880" t="inlineStr">
        <is>
          <t xml:space="preserve">BF </t>
        </is>
      </c>
      <c r="S880" t="n">
        <v>9</v>
      </c>
      <c r="T880" t="n">
        <v>9</v>
      </c>
      <c r="U880" t="inlineStr">
        <is>
          <t>2000-10-07</t>
        </is>
      </c>
      <c r="V880" t="inlineStr">
        <is>
          <t>2000-10-07</t>
        </is>
      </c>
      <c r="W880" t="inlineStr">
        <is>
          <t>1996-08-01</t>
        </is>
      </c>
      <c r="X880" t="inlineStr">
        <is>
          <t>1996-08-01</t>
        </is>
      </c>
      <c r="Y880" t="n">
        <v>370</v>
      </c>
      <c r="Z880" t="n">
        <v>278</v>
      </c>
      <c r="AA880" t="n">
        <v>286</v>
      </c>
      <c r="AB880" t="n">
        <v>3</v>
      </c>
      <c r="AC880" t="n">
        <v>3</v>
      </c>
      <c r="AD880" t="n">
        <v>17</v>
      </c>
      <c r="AE880" t="n">
        <v>17</v>
      </c>
      <c r="AF880" t="n">
        <v>6</v>
      </c>
      <c r="AG880" t="n">
        <v>6</v>
      </c>
      <c r="AH880" t="n">
        <v>5</v>
      </c>
      <c r="AI880" t="n">
        <v>5</v>
      </c>
      <c r="AJ880" t="n">
        <v>8</v>
      </c>
      <c r="AK880" t="n">
        <v>8</v>
      </c>
      <c r="AL880" t="n">
        <v>2</v>
      </c>
      <c r="AM880" t="n">
        <v>2</v>
      </c>
      <c r="AN880" t="n">
        <v>0</v>
      </c>
      <c r="AO880" t="n">
        <v>0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HYPERLINK("http://catalog.hathitrust.org/Record/000427516","HathiTrust Record")</f>
        <v/>
      </c>
      <c r="AS880">
        <f>HYPERLINK("https://creighton-primo.hosted.exlibrisgroup.com/primo-explore/search?tab=default_tab&amp;search_scope=EVERYTHING&amp;vid=01CRU&amp;lang=en_US&amp;offset=0&amp;query=any,contains,991003246529702656","Catalog Record")</f>
        <v/>
      </c>
      <c r="AT880">
        <f>HYPERLINK("http://www.worldcat.org/oclc/770708","WorldCat Record")</f>
        <v/>
      </c>
      <c r="AU880" t="inlineStr">
        <is>
          <t>3856322657:eng</t>
        </is>
      </c>
      <c r="AV880" t="inlineStr">
        <is>
          <t>770708</t>
        </is>
      </c>
      <c r="AW880" t="inlineStr">
        <is>
          <t>991003246529702656</t>
        </is>
      </c>
      <c r="AX880" t="inlineStr">
        <is>
          <t>991003246529702656</t>
        </is>
      </c>
      <c r="AY880" t="inlineStr">
        <is>
          <t>2263325680002656</t>
        </is>
      </c>
      <c r="AZ880" t="inlineStr">
        <is>
          <t>BOOK</t>
        </is>
      </c>
      <c r="BC880" t="inlineStr">
        <is>
          <t>32285002252681</t>
        </is>
      </c>
      <c r="BD880" t="inlineStr">
        <is>
          <t>893805558</t>
        </is>
      </c>
    </row>
    <row r="881">
      <c r="A881" t="inlineStr">
        <is>
          <t>No</t>
        </is>
      </c>
      <c r="B881" t="inlineStr">
        <is>
          <t>BF683 .W43 1980</t>
        </is>
      </c>
      <c r="C881" t="inlineStr">
        <is>
          <t>0                      BF 0683000W  43          1980</t>
        </is>
      </c>
      <c r="D881" t="inlineStr">
        <is>
          <t>Human motivation / Bernard Weiner.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Weiner, Bernard.</t>
        </is>
      </c>
      <c r="L881" t="inlineStr">
        <is>
          <t>New York : Holt, Rinehart, and Winston, c1980.</t>
        </is>
      </c>
      <c r="M881" t="inlineStr">
        <is>
          <t>1980</t>
        </is>
      </c>
      <c r="O881" t="inlineStr">
        <is>
          <t>eng</t>
        </is>
      </c>
      <c r="P881" t="inlineStr">
        <is>
          <t>nyu</t>
        </is>
      </c>
      <c r="R881" t="inlineStr">
        <is>
          <t xml:space="preserve">BF </t>
        </is>
      </c>
      <c r="S881" t="n">
        <v>13</v>
      </c>
      <c r="T881" t="n">
        <v>13</v>
      </c>
      <c r="U881" t="inlineStr">
        <is>
          <t>2003-10-12</t>
        </is>
      </c>
      <c r="V881" t="inlineStr">
        <is>
          <t>2003-10-12</t>
        </is>
      </c>
      <c r="W881" t="inlineStr">
        <is>
          <t>1993-04-05</t>
        </is>
      </c>
      <c r="X881" t="inlineStr">
        <is>
          <t>1993-04-05</t>
        </is>
      </c>
      <c r="Y881" t="n">
        <v>269</v>
      </c>
      <c r="Z881" t="n">
        <v>144</v>
      </c>
      <c r="AA881" t="n">
        <v>322</v>
      </c>
      <c r="AB881" t="n">
        <v>2</v>
      </c>
      <c r="AC881" t="n">
        <v>2</v>
      </c>
      <c r="AD881" t="n">
        <v>3</v>
      </c>
      <c r="AE881" t="n">
        <v>11</v>
      </c>
      <c r="AF881" t="n">
        <v>0</v>
      </c>
      <c r="AG881" t="n">
        <v>3</v>
      </c>
      <c r="AH881" t="n">
        <v>2</v>
      </c>
      <c r="AI881" t="n">
        <v>3</v>
      </c>
      <c r="AJ881" t="n">
        <v>0</v>
      </c>
      <c r="AK881" t="n">
        <v>6</v>
      </c>
      <c r="AL881" t="n">
        <v>1</v>
      </c>
      <c r="AM881" t="n">
        <v>1</v>
      </c>
      <c r="AN881" t="n">
        <v>0</v>
      </c>
      <c r="AO881" t="n">
        <v>0</v>
      </c>
      <c r="AP881" t="inlineStr">
        <is>
          <t>No</t>
        </is>
      </c>
      <c r="AQ881" t="inlineStr">
        <is>
          <t>Yes</t>
        </is>
      </c>
      <c r="AR881">
        <f>HYPERLINK("http://catalog.hathitrust.org/Record/000718601","HathiTrust Record")</f>
        <v/>
      </c>
      <c r="AS881">
        <f>HYPERLINK("https://creighton-primo.hosted.exlibrisgroup.com/primo-explore/search?tab=default_tab&amp;search_scope=EVERYTHING&amp;vid=01CRU&amp;lang=en_US&amp;offset=0&amp;query=any,contains,991004914739702656","Catalog Record")</f>
        <v/>
      </c>
      <c r="AT881">
        <f>HYPERLINK("http://www.worldcat.org/oclc/6015612","WorldCat Record")</f>
        <v/>
      </c>
      <c r="AU881" t="inlineStr">
        <is>
          <t>21009923:eng</t>
        </is>
      </c>
      <c r="AV881" t="inlineStr">
        <is>
          <t>6015612</t>
        </is>
      </c>
      <c r="AW881" t="inlineStr">
        <is>
          <t>991004914739702656</t>
        </is>
      </c>
      <c r="AX881" t="inlineStr">
        <is>
          <t>991004914739702656</t>
        </is>
      </c>
      <c r="AY881" t="inlineStr">
        <is>
          <t>2269113390002656</t>
        </is>
      </c>
      <c r="AZ881" t="inlineStr">
        <is>
          <t>BOOK</t>
        </is>
      </c>
      <c r="BB881" t="inlineStr">
        <is>
          <t>9780030552267</t>
        </is>
      </c>
      <c r="BC881" t="inlineStr">
        <is>
          <t>32285001601094</t>
        </is>
      </c>
      <c r="BD881" t="inlineStr">
        <is>
          <t>893236051</t>
        </is>
      </c>
    </row>
    <row r="882">
      <c r="A882" t="inlineStr">
        <is>
          <t>No</t>
        </is>
      </c>
      <c r="B882" t="inlineStr">
        <is>
          <t>BF683 .Z5</t>
        </is>
      </c>
      <c r="C882" t="inlineStr">
        <is>
          <t>0                      BF 0683000Z  5</t>
        </is>
      </c>
      <c r="D882" t="inlineStr">
        <is>
          <t>The cognitive control of motivation : the consequences of choice and dissonance / [by] Philip G. Zimbardo.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Zimbardo, Philip G.</t>
        </is>
      </c>
      <c r="L882" t="inlineStr">
        <is>
          <t>[Glenview, Ill.] : Scott, Foresman, [1969]</t>
        </is>
      </c>
      <c r="M882" t="inlineStr">
        <is>
          <t>1969</t>
        </is>
      </c>
      <c r="O882" t="inlineStr">
        <is>
          <t>eng</t>
        </is>
      </c>
      <c r="P882" t="inlineStr">
        <is>
          <t>ilu</t>
        </is>
      </c>
      <c r="R882" t="inlineStr">
        <is>
          <t xml:space="preserve">BF </t>
        </is>
      </c>
      <c r="S882" t="n">
        <v>6</v>
      </c>
      <c r="T882" t="n">
        <v>6</v>
      </c>
      <c r="U882" t="inlineStr">
        <is>
          <t>2007-02-06</t>
        </is>
      </c>
      <c r="V882" t="inlineStr">
        <is>
          <t>2007-02-06</t>
        </is>
      </c>
      <c r="W882" t="inlineStr">
        <is>
          <t>1993-02-26</t>
        </is>
      </c>
      <c r="X882" t="inlineStr">
        <is>
          <t>1993-02-26</t>
        </is>
      </c>
      <c r="Y882" t="n">
        <v>754</v>
      </c>
      <c r="Z882" t="n">
        <v>582</v>
      </c>
      <c r="AA882" t="n">
        <v>585</v>
      </c>
      <c r="AB882" t="n">
        <v>5</v>
      </c>
      <c r="AC882" t="n">
        <v>5</v>
      </c>
      <c r="AD882" t="n">
        <v>34</v>
      </c>
      <c r="AE882" t="n">
        <v>34</v>
      </c>
      <c r="AF882" t="n">
        <v>14</v>
      </c>
      <c r="AG882" t="n">
        <v>14</v>
      </c>
      <c r="AH882" t="n">
        <v>6</v>
      </c>
      <c r="AI882" t="n">
        <v>6</v>
      </c>
      <c r="AJ882" t="n">
        <v>18</v>
      </c>
      <c r="AK882" t="n">
        <v>18</v>
      </c>
      <c r="AL882" t="n">
        <v>4</v>
      </c>
      <c r="AM882" t="n">
        <v>4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HYPERLINK("http://catalog.hathitrust.org/Record/000425347","HathiTrust Record")</f>
        <v/>
      </c>
      <c r="AS882">
        <f>HYPERLINK("https://creighton-primo.hosted.exlibrisgroup.com/primo-explore/search?tab=default_tab&amp;search_scope=EVERYTHING&amp;vid=01CRU&amp;lang=en_US&amp;offset=0&amp;query=any,contains,991005437169702656","Catalog Record")</f>
        <v/>
      </c>
      <c r="AT882">
        <f>HYPERLINK("http://www.worldcat.org/oclc/5050","WorldCat Record")</f>
        <v/>
      </c>
      <c r="AU882" t="inlineStr">
        <is>
          <t>1128475:eng</t>
        </is>
      </c>
      <c r="AV882" t="inlineStr">
        <is>
          <t>5050</t>
        </is>
      </c>
      <c r="AW882" t="inlineStr">
        <is>
          <t>991005437169702656</t>
        </is>
      </c>
      <c r="AX882" t="inlineStr">
        <is>
          <t>991005437169702656</t>
        </is>
      </c>
      <c r="AY882" t="inlineStr">
        <is>
          <t>2264508240002656</t>
        </is>
      </c>
      <c r="AZ882" t="inlineStr">
        <is>
          <t>BOOK</t>
        </is>
      </c>
      <c r="BC882" t="inlineStr">
        <is>
          <t>32285001539971</t>
        </is>
      </c>
      <c r="BD882" t="inlineStr">
        <is>
          <t>893811110</t>
        </is>
      </c>
    </row>
    <row r="883">
      <c r="A883" t="inlineStr">
        <is>
          <t>No</t>
        </is>
      </c>
      <c r="B883" t="inlineStr">
        <is>
          <t>BF689.9.S55 A76 1985</t>
        </is>
      </c>
      <c r="C883" t="inlineStr">
        <is>
          <t>0                      BF 0689900S  55                 A  76          1985</t>
        </is>
      </c>
      <c r="D883" t="inlineStr">
        <is>
          <t>Personality in the social process / Joel Arnoff, John P. Wilson.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Aronoff, Joel.</t>
        </is>
      </c>
      <c r="L883" t="inlineStr">
        <is>
          <t>Hillsdale, N.J. : L. Erlbaum Associates, 1985.</t>
        </is>
      </c>
      <c r="M883" t="inlineStr">
        <is>
          <t>1985</t>
        </is>
      </c>
      <c r="O883" t="inlineStr">
        <is>
          <t>eng</t>
        </is>
      </c>
      <c r="P883" t="inlineStr">
        <is>
          <t>nju</t>
        </is>
      </c>
      <c r="R883" t="inlineStr">
        <is>
          <t xml:space="preserve">BF </t>
        </is>
      </c>
      <c r="S883" t="n">
        <v>2</v>
      </c>
      <c r="T883" t="n">
        <v>2</v>
      </c>
      <c r="U883" t="inlineStr">
        <is>
          <t>2005-10-14</t>
        </is>
      </c>
      <c r="V883" t="inlineStr">
        <is>
          <t>2005-10-14</t>
        </is>
      </c>
      <c r="W883" t="inlineStr">
        <is>
          <t>1993-04-05</t>
        </is>
      </c>
      <c r="X883" t="inlineStr">
        <is>
          <t>1993-04-05</t>
        </is>
      </c>
      <c r="Y883" t="n">
        <v>556</v>
      </c>
      <c r="Z883" t="n">
        <v>465</v>
      </c>
      <c r="AA883" t="n">
        <v>491</v>
      </c>
      <c r="AB883" t="n">
        <v>4</v>
      </c>
      <c r="AC883" t="n">
        <v>4</v>
      </c>
      <c r="AD883" t="n">
        <v>21</v>
      </c>
      <c r="AE883" t="n">
        <v>21</v>
      </c>
      <c r="AF883" t="n">
        <v>7</v>
      </c>
      <c r="AG883" t="n">
        <v>7</v>
      </c>
      <c r="AH883" t="n">
        <v>4</v>
      </c>
      <c r="AI883" t="n">
        <v>4</v>
      </c>
      <c r="AJ883" t="n">
        <v>11</v>
      </c>
      <c r="AK883" t="n">
        <v>11</v>
      </c>
      <c r="AL883" t="n">
        <v>3</v>
      </c>
      <c r="AM883" t="n">
        <v>3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HYPERLINK("http://catalog.hathitrust.org/Record/000605153","HathiTrust Record")</f>
        <v/>
      </c>
      <c r="AS883">
        <f>HYPERLINK("https://creighton-primo.hosted.exlibrisgroup.com/primo-explore/search?tab=default_tab&amp;search_scope=EVERYTHING&amp;vid=01CRU&amp;lang=en_US&amp;offset=0&amp;query=any,contains,991000523379702656","Catalog Record")</f>
        <v/>
      </c>
      <c r="AT883">
        <f>HYPERLINK("http://www.worldcat.org/oclc/11346462","WorldCat Record")</f>
        <v/>
      </c>
      <c r="AU883" t="inlineStr">
        <is>
          <t>4208905:eng</t>
        </is>
      </c>
      <c r="AV883" t="inlineStr">
        <is>
          <t>11346462</t>
        </is>
      </c>
      <c r="AW883" t="inlineStr">
        <is>
          <t>991000523379702656</t>
        </is>
      </c>
      <c r="AX883" t="inlineStr">
        <is>
          <t>991000523379702656</t>
        </is>
      </c>
      <c r="AY883" t="inlineStr">
        <is>
          <t>2262936190002656</t>
        </is>
      </c>
      <c r="AZ883" t="inlineStr">
        <is>
          <t>BOOK</t>
        </is>
      </c>
      <c r="BB883" t="inlineStr">
        <is>
          <t>9780898595260</t>
        </is>
      </c>
      <c r="BC883" t="inlineStr">
        <is>
          <t>32285001601102</t>
        </is>
      </c>
      <c r="BD883" t="inlineStr">
        <is>
          <t>893534190</t>
        </is>
      </c>
    </row>
    <row r="884">
      <c r="A884" t="inlineStr">
        <is>
          <t>No</t>
        </is>
      </c>
      <c r="B884" t="inlineStr">
        <is>
          <t>BF692 .D617 1977</t>
        </is>
      </c>
      <c r="C884" t="inlineStr">
        <is>
          <t>0                      BF 0692000D  617         1977</t>
        </is>
      </c>
      <c r="D884" t="inlineStr">
        <is>
          <t>The mermaid and the minotaur : sexual arrangements and human malaise / Dorothy Dinnerstein.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Dinnerstein, Dorothy.</t>
        </is>
      </c>
      <c r="L884" t="inlineStr">
        <is>
          <t>New York : Harper &amp; Row, 1977, c1976.</t>
        </is>
      </c>
      <c r="M884" t="inlineStr">
        <is>
          <t>1977</t>
        </is>
      </c>
      <c r="O884" t="inlineStr">
        <is>
          <t>eng</t>
        </is>
      </c>
      <c r="P884" t="inlineStr">
        <is>
          <t>nyu</t>
        </is>
      </c>
      <c r="Q884" t="inlineStr">
        <is>
          <t>Harper colophon books</t>
        </is>
      </c>
      <c r="R884" t="inlineStr">
        <is>
          <t xml:space="preserve">BF </t>
        </is>
      </c>
      <c r="S884" t="n">
        <v>5</v>
      </c>
      <c r="T884" t="n">
        <v>5</v>
      </c>
      <c r="U884" t="inlineStr">
        <is>
          <t>2000-10-30</t>
        </is>
      </c>
      <c r="V884" t="inlineStr">
        <is>
          <t>2000-10-30</t>
        </is>
      </c>
      <c r="W884" t="inlineStr">
        <is>
          <t>1990-03-16</t>
        </is>
      </c>
      <c r="X884" t="inlineStr">
        <is>
          <t>1990-03-16</t>
        </is>
      </c>
      <c r="Y884" t="n">
        <v>421</v>
      </c>
      <c r="Z884" t="n">
        <v>350</v>
      </c>
      <c r="AA884" t="n">
        <v>1080</v>
      </c>
      <c r="AB884" t="n">
        <v>3</v>
      </c>
      <c r="AC884" t="n">
        <v>4</v>
      </c>
      <c r="AD884" t="n">
        <v>15</v>
      </c>
      <c r="AE884" t="n">
        <v>40</v>
      </c>
      <c r="AF884" t="n">
        <v>7</v>
      </c>
      <c r="AG884" t="n">
        <v>16</v>
      </c>
      <c r="AH884" t="n">
        <v>1</v>
      </c>
      <c r="AI884" t="n">
        <v>9</v>
      </c>
      <c r="AJ884" t="n">
        <v>6</v>
      </c>
      <c r="AK884" t="n">
        <v>20</v>
      </c>
      <c r="AL884" t="n">
        <v>2</v>
      </c>
      <c r="AM884" t="n">
        <v>3</v>
      </c>
      <c r="AN884" t="n">
        <v>2</v>
      </c>
      <c r="AO884" t="n">
        <v>2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HYPERLINK("https://creighton-primo.hosted.exlibrisgroup.com/primo-explore/search?tab=default_tab&amp;search_scope=EVERYTHING&amp;vid=01CRU&amp;lang=en_US&amp;offset=0&amp;query=any,contains,991004541959702656","Catalog Record")</f>
        <v/>
      </c>
      <c r="AT884">
        <f>HYPERLINK("http://www.worldcat.org/oclc/3898010","WorldCat Record")</f>
        <v/>
      </c>
      <c r="AU884" t="inlineStr">
        <is>
          <t>402237:eng</t>
        </is>
      </c>
      <c r="AV884" t="inlineStr">
        <is>
          <t>3898010</t>
        </is>
      </c>
      <c r="AW884" t="inlineStr">
        <is>
          <t>991004541959702656</t>
        </is>
      </c>
      <c r="AX884" t="inlineStr">
        <is>
          <t>991004541959702656</t>
        </is>
      </c>
      <c r="AY884" t="inlineStr">
        <is>
          <t>2269049750002656</t>
        </is>
      </c>
      <c r="AZ884" t="inlineStr">
        <is>
          <t>BOOK</t>
        </is>
      </c>
      <c r="BB884" t="inlineStr">
        <is>
          <t>9780060905873</t>
        </is>
      </c>
      <c r="BC884" t="inlineStr">
        <is>
          <t>32285000090448</t>
        </is>
      </c>
      <c r="BD884" t="inlineStr">
        <is>
          <t>893794982</t>
        </is>
      </c>
    </row>
    <row r="885">
      <c r="A885" t="inlineStr">
        <is>
          <t>No</t>
        </is>
      </c>
      <c r="B885" t="inlineStr">
        <is>
          <t>BF692 .E95 1976</t>
        </is>
      </c>
      <c r="C885" t="inlineStr">
        <is>
          <t>0                      BF 0692000E  95          1976</t>
        </is>
      </c>
      <c r="D885" t="inlineStr">
        <is>
          <t>Sex and personality / H. J. Eysenck.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Eysenck, H. J. (Hans Jurgen), 1916-1997.</t>
        </is>
      </c>
      <c r="L885" t="inlineStr">
        <is>
          <t>Austin : University of Texas Press, c1976.</t>
        </is>
      </c>
      <c r="M885" t="inlineStr">
        <is>
          <t>1976</t>
        </is>
      </c>
      <c r="O885" t="inlineStr">
        <is>
          <t>eng</t>
        </is>
      </c>
      <c r="P885" t="inlineStr">
        <is>
          <t>txu</t>
        </is>
      </c>
      <c r="R885" t="inlineStr">
        <is>
          <t xml:space="preserve">BF </t>
        </is>
      </c>
      <c r="S885" t="n">
        <v>6</v>
      </c>
      <c r="T885" t="n">
        <v>6</v>
      </c>
      <c r="U885" t="inlineStr">
        <is>
          <t>2006-11-18</t>
        </is>
      </c>
      <c r="V885" t="inlineStr">
        <is>
          <t>2006-11-18</t>
        </is>
      </c>
      <c r="W885" t="inlineStr">
        <is>
          <t>1993-03-25</t>
        </is>
      </c>
      <c r="X885" t="inlineStr">
        <is>
          <t>1993-03-25</t>
        </is>
      </c>
      <c r="Y885" t="n">
        <v>466</v>
      </c>
      <c r="Z885" t="n">
        <v>426</v>
      </c>
      <c r="AA885" t="n">
        <v>474</v>
      </c>
      <c r="AB885" t="n">
        <v>1</v>
      </c>
      <c r="AC885" t="n">
        <v>2</v>
      </c>
      <c r="AD885" t="n">
        <v>18</v>
      </c>
      <c r="AE885" t="n">
        <v>21</v>
      </c>
      <c r="AF885" t="n">
        <v>7</v>
      </c>
      <c r="AG885" t="n">
        <v>8</v>
      </c>
      <c r="AH885" t="n">
        <v>6</v>
      </c>
      <c r="AI885" t="n">
        <v>6</v>
      </c>
      <c r="AJ885" t="n">
        <v>11</v>
      </c>
      <c r="AK885" t="n">
        <v>12</v>
      </c>
      <c r="AL885" t="n">
        <v>0</v>
      </c>
      <c r="AM885" t="n">
        <v>1</v>
      </c>
      <c r="AN885" t="n">
        <v>0</v>
      </c>
      <c r="AO885" t="n">
        <v>0</v>
      </c>
      <c r="AP885" t="inlineStr">
        <is>
          <t>No</t>
        </is>
      </c>
      <c r="AQ885" t="inlineStr">
        <is>
          <t>Yes</t>
        </is>
      </c>
      <c r="AR885">
        <f>HYPERLINK("http://catalog.hathitrust.org/Record/007478792","HathiTrust Record")</f>
        <v/>
      </c>
      <c r="AS885">
        <f>HYPERLINK("https://creighton-primo.hosted.exlibrisgroup.com/primo-explore/search?tab=default_tab&amp;search_scope=EVERYTHING&amp;vid=01CRU&amp;lang=en_US&amp;offset=0&amp;query=any,contains,991004194089702656","Catalog Record")</f>
        <v/>
      </c>
      <c r="AT885">
        <f>HYPERLINK("http://www.worldcat.org/oclc/2639529","WorldCat Record")</f>
        <v/>
      </c>
      <c r="AU885" t="inlineStr">
        <is>
          <t>196717274:eng</t>
        </is>
      </c>
      <c r="AV885" t="inlineStr">
        <is>
          <t>2639529</t>
        </is>
      </c>
      <c r="AW885" t="inlineStr">
        <is>
          <t>991004194089702656</t>
        </is>
      </c>
      <c r="AX885" t="inlineStr">
        <is>
          <t>991004194089702656</t>
        </is>
      </c>
      <c r="AY885" t="inlineStr">
        <is>
          <t>2268875210002656</t>
        </is>
      </c>
      <c r="AZ885" t="inlineStr">
        <is>
          <t>BOOK</t>
        </is>
      </c>
      <c r="BB885" t="inlineStr">
        <is>
          <t>9780292775299</t>
        </is>
      </c>
      <c r="BC885" t="inlineStr">
        <is>
          <t>32285001591493</t>
        </is>
      </c>
      <c r="BD885" t="inlineStr">
        <is>
          <t>893353275</t>
        </is>
      </c>
    </row>
    <row r="886">
      <c r="A886" t="inlineStr">
        <is>
          <t>No</t>
        </is>
      </c>
      <c r="B886" t="inlineStr">
        <is>
          <t>BF692 .H447 1998</t>
        </is>
      </c>
      <c r="C886" t="inlineStr">
        <is>
          <t>0                      BF 0692000H  447         1998</t>
        </is>
      </c>
      <c r="D886" t="inlineStr">
        <is>
          <t>Sex and self-respect : the quest for personal fulfillment / Philip M. Helfaer.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Helfaer, Philip M., 1933-</t>
        </is>
      </c>
      <c r="L886" t="inlineStr">
        <is>
          <t>Westport, Conn. : Praeger, 1998.</t>
        </is>
      </c>
      <c r="M886" t="inlineStr">
        <is>
          <t>1998</t>
        </is>
      </c>
      <c r="O886" t="inlineStr">
        <is>
          <t>eng</t>
        </is>
      </c>
      <c r="P886" t="inlineStr">
        <is>
          <t>ctu</t>
        </is>
      </c>
      <c r="R886" t="inlineStr">
        <is>
          <t xml:space="preserve">BF </t>
        </is>
      </c>
      <c r="S886" t="n">
        <v>1</v>
      </c>
      <c r="T886" t="n">
        <v>1</v>
      </c>
      <c r="U886" t="inlineStr">
        <is>
          <t>2005-10-14</t>
        </is>
      </c>
      <c r="V886" t="inlineStr">
        <is>
          <t>2005-10-14</t>
        </is>
      </c>
      <c r="W886" t="inlineStr">
        <is>
          <t>1999-04-26</t>
        </is>
      </c>
      <c r="X886" t="inlineStr">
        <is>
          <t>1999-04-26</t>
        </is>
      </c>
      <c r="Y886" t="n">
        <v>228</v>
      </c>
      <c r="Z886" t="n">
        <v>196</v>
      </c>
      <c r="AA886" t="n">
        <v>198</v>
      </c>
      <c r="AB886" t="n">
        <v>2</v>
      </c>
      <c r="AC886" t="n">
        <v>2</v>
      </c>
      <c r="AD886" t="n">
        <v>12</v>
      </c>
      <c r="AE886" t="n">
        <v>12</v>
      </c>
      <c r="AF886" t="n">
        <v>4</v>
      </c>
      <c r="AG886" t="n">
        <v>4</v>
      </c>
      <c r="AH886" t="n">
        <v>3</v>
      </c>
      <c r="AI886" t="n">
        <v>3</v>
      </c>
      <c r="AJ886" t="n">
        <v>7</v>
      </c>
      <c r="AK886" t="n">
        <v>7</v>
      </c>
      <c r="AL886" t="n">
        <v>1</v>
      </c>
      <c r="AM886" t="n">
        <v>1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HYPERLINK("http://catalog.hathitrust.org/Record/003985688","HathiTrust Record")</f>
        <v/>
      </c>
      <c r="AS886">
        <f>HYPERLINK("https://creighton-primo.hosted.exlibrisgroup.com/primo-explore/search?tab=default_tab&amp;search_scope=EVERYTHING&amp;vid=01CRU&amp;lang=en_US&amp;offset=0&amp;query=any,contains,991002898929702656","Catalog Record")</f>
        <v/>
      </c>
      <c r="AT886">
        <f>HYPERLINK("http://www.worldcat.org/oclc/38215587","WorldCat Record")</f>
        <v/>
      </c>
      <c r="AU886" t="inlineStr">
        <is>
          <t>340462477:eng</t>
        </is>
      </c>
      <c r="AV886" t="inlineStr">
        <is>
          <t>38215587</t>
        </is>
      </c>
      <c r="AW886" t="inlineStr">
        <is>
          <t>991002898929702656</t>
        </is>
      </c>
      <c r="AX886" t="inlineStr">
        <is>
          <t>991002898929702656</t>
        </is>
      </c>
      <c r="AY886" t="inlineStr">
        <is>
          <t>2255041740002656</t>
        </is>
      </c>
      <c r="AZ886" t="inlineStr">
        <is>
          <t>BOOK</t>
        </is>
      </c>
      <c r="BB886" t="inlineStr">
        <is>
          <t>9780275961855</t>
        </is>
      </c>
      <c r="BC886" t="inlineStr">
        <is>
          <t>32285003555504</t>
        </is>
      </c>
      <c r="BD886" t="inlineStr">
        <is>
          <t>893899386</t>
        </is>
      </c>
    </row>
    <row r="887">
      <c r="A887" t="inlineStr">
        <is>
          <t>No</t>
        </is>
      </c>
      <c r="B887" t="inlineStr">
        <is>
          <t>BF692 .M27</t>
        </is>
      </c>
      <c r="C887" t="inlineStr">
        <is>
          <t>0                      BF 0692000M  27</t>
        </is>
      </c>
      <c r="D887" t="inlineStr">
        <is>
          <t>The development of sex differences / edited by Eleanor E. Maccoby. With contributions by Roy G. D'Andrade [and others]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Maccoby, Eleanor E., 1917-2018 editor.</t>
        </is>
      </c>
      <c r="L887" t="inlineStr">
        <is>
          <t>Stanford, Calif. : Stanford University Press, 1966.</t>
        </is>
      </c>
      <c r="M887" t="inlineStr">
        <is>
          <t>1966</t>
        </is>
      </c>
      <c r="O887" t="inlineStr">
        <is>
          <t>eng</t>
        </is>
      </c>
      <c r="P887" t="inlineStr">
        <is>
          <t>cau</t>
        </is>
      </c>
      <c r="Q887" t="inlineStr">
        <is>
          <t>Stanford studies in psychology ; 5</t>
        </is>
      </c>
      <c r="R887" t="inlineStr">
        <is>
          <t xml:space="preserve">BF </t>
        </is>
      </c>
      <c r="S887" t="n">
        <v>4</v>
      </c>
      <c r="T887" t="n">
        <v>4</v>
      </c>
      <c r="U887" t="inlineStr">
        <is>
          <t>2004-02-23</t>
        </is>
      </c>
      <c r="V887" t="inlineStr">
        <is>
          <t>2004-02-23</t>
        </is>
      </c>
      <c r="W887" t="inlineStr">
        <is>
          <t>1992-12-10</t>
        </is>
      </c>
      <c r="X887" t="inlineStr">
        <is>
          <t>1992-12-10</t>
        </is>
      </c>
      <c r="Y887" t="n">
        <v>1045</v>
      </c>
      <c r="Z887" t="n">
        <v>878</v>
      </c>
      <c r="AA887" t="n">
        <v>882</v>
      </c>
      <c r="AB887" t="n">
        <v>7</v>
      </c>
      <c r="AC887" t="n">
        <v>7</v>
      </c>
      <c r="AD887" t="n">
        <v>45</v>
      </c>
      <c r="AE887" t="n">
        <v>45</v>
      </c>
      <c r="AF887" t="n">
        <v>21</v>
      </c>
      <c r="AG887" t="n">
        <v>21</v>
      </c>
      <c r="AH887" t="n">
        <v>7</v>
      </c>
      <c r="AI887" t="n">
        <v>7</v>
      </c>
      <c r="AJ887" t="n">
        <v>22</v>
      </c>
      <c r="AK887" t="n">
        <v>22</v>
      </c>
      <c r="AL887" t="n">
        <v>6</v>
      </c>
      <c r="AM887" t="n">
        <v>6</v>
      </c>
      <c r="AN887" t="n">
        <v>0</v>
      </c>
      <c r="AO887" t="n">
        <v>0</v>
      </c>
      <c r="AP887" t="inlineStr">
        <is>
          <t>No</t>
        </is>
      </c>
      <c r="AQ887" t="inlineStr">
        <is>
          <t>No</t>
        </is>
      </c>
      <c r="AS887">
        <f>HYPERLINK("https://creighton-primo.hosted.exlibrisgroup.com/primo-explore/search?tab=default_tab&amp;search_scope=EVERYTHING&amp;vid=01CRU&amp;lang=en_US&amp;offset=0&amp;query=any,contains,991001764119702656","Catalog Record")</f>
        <v/>
      </c>
      <c r="AT887">
        <f>HYPERLINK("http://www.worldcat.org/oclc/236215","WorldCat Record")</f>
        <v/>
      </c>
      <c r="AU887" t="inlineStr">
        <is>
          <t>4917184749:eng</t>
        </is>
      </c>
      <c r="AV887" t="inlineStr">
        <is>
          <t>236215</t>
        </is>
      </c>
      <c r="AW887" t="inlineStr">
        <is>
          <t>991001764119702656</t>
        </is>
      </c>
      <c r="AX887" t="inlineStr">
        <is>
          <t>991001764119702656</t>
        </is>
      </c>
      <c r="AY887" t="inlineStr">
        <is>
          <t>2257652880002656</t>
        </is>
      </c>
      <c r="AZ887" t="inlineStr">
        <is>
          <t>BOOK</t>
        </is>
      </c>
      <c r="BB887" t="inlineStr">
        <is>
          <t>9780804703086</t>
        </is>
      </c>
      <c r="BC887" t="inlineStr">
        <is>
          <t>32285001414712</t>
        </is>
      </c>
      <c r="BD887" t="inlineStr">
        <is>
          <t>893615361</t>
        </is>
      </c>
    </row>
    <row r="888">
      <c r="A888" t="inlineStr">
        <is>
          <t>No</t>
        </is>
      </c>
      <c r="B888" t="inlineStr">
        <is>
          <t>BF692 .M274</t>
        </is>
      </c>
      <c r="C888" t="inlineStr">
        <is>
          <t>0                      BF 0692000M  274</t>
        </is>
      </c>
      <c r="D888" t="inlineStr">
        <is>
          <t>The psychology of sex differences / Eleanor Emmons Maccoby and Carol Nagy Jacklin.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K888" t="inlineStr">
        <is>
          <t>Maccoby, Eleanor E., 1917-2018.</t>
        </is>
      </c>
      <c r="L888" t="inlineStr">
        <is>
          <t>Stanford, Calif. : Stanford University Press, 1974.</t>
        </is>
      </c>
      <c r="M888" t="inlineStr">
        <is>
          <t>1974</t>
        </is>
      </c>
      <c r="O888" t="inlineStr">
        <is>
          <t>eng</t>
        </is>
      </c>
      <c r="P888" t="inlineStr">
        <is>
          <t>cau</t>
        </is>
      </c>
      <c r="R888" t="inlineStr">
        <is>
          <t xml:space="preserve">BF </t>
        </is>
      </c>
      <c r="S888" t="n">
        <v>13</v>
      </c>
      <c r="T888" t="n">
        <v>13</v>
      </c>
      <c r="U888" t="inlineStr">
        <is>
          <t>2008-04-10</t>
        </is>
      </c>
      <c r="V888" t="inlineStr">
        <is>
          <t>2008-04-10</t>
        </is>
      </c>
      <c r="W888" t="inlineStr">
        <is>
          <t>1996-08-01</t>
        </is>
      </c>
      <c r="X888" t="inlineStr">
        <is>
          <t>1996-08-01</t>
        </is>
      </c>
      <c r="Y888" t="n">
        <v>1442</v>
      </c>
      <c r="Z888" t="n">
        <v>1220</v>
      </c>
      <c r="AA888" t="n">
        <v>1227</v>
      </c>
      <c r="AB888" t="n">
        <v>11</v>
      </c>
      <c r="AC888" t="n">
        <v>11</v>
      </c>
      <c r="AD888" t="n">
        <v>51</v>
      </c>
      <c r="AE888" t="n">
        <v>51</v>
      </c>
      <c r="AF888" t="n">
        <v>23</v>
      </c>
      <c r="AG888" t="n">
        <v>23</v>
      </c>
      <c r="AH888" t="n">
        <v>9</v>
      </c>
      <c r="AI888" t="n">
        <v>9</v>
      </c>
      <c r="AJ888" t="n">
        <v>23</v>
      </c>
      <c r="AK888" t="n">
        <v>23</v>
      </c>
      <c r="AL888" t="n">
        <v>8</v>
      </c>
      <c r="AM888" t="n">
        <v>8</v>
      </c>
      <c r="AN888" t="n">
        <v>0</v>
      </c>
      <c r="AO888" t="n">
        <v>0</v>
      </c>
      <c r="AP888" t="inlineStr">
        <is>
          <t>No</t>
        </is>
      </c>
      <c r="AQ888" t="inlineStr">
        <is>
          <t>No</t>
        </is>
      </c>
      <c r="AS888">
        <f>HYPERLINK("https://creighton-primo.hosted.exlibrisgroup.com/primo-explore/search?tab=default_tab&amp;search_scope=EVERYTHING&amp;vid=01CRU&amp;lang=en_US&amp;offset=0&amp;query=any,contains,991003579219702656","Catalog Record")</f>
        <v/>
      </c>
      <c r="AT888">
        <f>HYPERLINK("http://www.worldcat.org/oclc/1160097","WorldCat Record")</f>
        <v/>
      </c>
      <c r="AU888" t="inlineStr">
        <is>
          <t>2094036:eng</t>
        </is>
      </c>
      <c r="AV888" t="inlineStr">
        <is>
          <t>1160097</t>
        </is>
      </c>
      <c r="AW888" t="inlineStr">
        <is>
          <t>991003579219702656</t>
        </is>
      </c>
      <c r="AX888" t="inlineStr">
        <is>
          <t>991003579219702656</t>
        </is>
      </c>
      <c r="AY888" t="inlineStr">
        <is>
          <t>2269819320002656</t>
        </is>
      </c>
      <c r="AZ888" t="inlineStr">
        <is>
          <t>BOOK</t>
        </is>
      </c>
      <c r="BB888" t="inlineStr">
        <is>
          <t>9780804708593</t>
        </is>
      </c>
      <c r="BC888" t="inlineStr">
        <is>
          <t>32285002252749</t>
        </is>
      </c>
      <c r="BD888" t="inlineStr">
        <is>
          <t>893428947</t>
        </is>
      </c>
    </row>
    <row r="889">
      <c r="A889" t="inlineStr">
        <is>
          <t>No</t>
        </is>
      </c>
      <c r="B889" t="inlineStr">
        <is>
          <t>BF692 .M4</t>
        </is>
      </c>
      <c r="C889" t="inlineStr">
        <is>
          <t>0                      BF 0692000M  4</t>
        </is>
      </c>
      <c r="D889" t="inlineStr">
        <is>
          <t>Love against hate / [by] Karl Menninger, M.D., with the collaboration of Jeanetta Lyle Menninger.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Menninger, Karl A. (Karl Augustus), 1893-1990.</t>
        </is>
      </c>
      <c r="L889" t="inlineStr">
        <is>
          <t>New York : Harcourt, Brace and company, [1942]</t>
        </is>
      </c>
      <c r="M889" t="inlineStr">
        <is>
          <t>1942</t>
        </is>
      </c>
      <c r="O889" t="inlineStr">
        <is>
          <t>eng</t>
        </is>
      </c>
      <c r="P889" t="inlineStr">
        <is>
          <t>nyu</t>
        </is>
      </c>
      <c r="R889" t="inlineStr">
        <is>
          <t xml:space="preserve">BF </t>
        </is>
      </c>
      <c r="S889" t="n">
        <v>4</v>
      </c>
      <c r="T889" t="n">
        <v>4</v>
      </c>
      <c r="U889" t="inlineStr">
        <is>
          <t>1996-10-02</t>
        </is>
      </c>
      <c r="V889" t="inlineStr">
        <is>
          <t>1996-10-02</t>
        </is>
      </c>
      <c r="W889" t="inlineStr">
        <is>
          <t>1994-04-18</t>
        </is>
      </c>
      <c r="X889" t="inlineStr">
        <is>
          <t>1994-04-18</t>
        </is>
      </c>
      <c r="Y889" t="n">
        <v>1458</v>
      </c>
      <c r="Z889" t="n">
        <v>1333</v>
      </c>
      <c r="AA889" t="n">
        <v>1536</v>
      </c>
      <c r="AB889" t="n">
        <v>12</v>
      </c>
      <c r="AC889" t="n">
        <v>14</v>
      </c>
      <c r="AD889" t="n">
        <v>49</v>
      </c>
      <c r="AE889" t="n">
        <v>50</v>
      </c>
      <c r="AF889" t="n">
        <v>19</v>
      </c>
      <c r="AG889" t="n">
        <v>20</v>
      </c>
      <c r="AH889" t="n">
        <v>10</v>
      </c>
      <c r="AI889" t="n">
        <v>10</v>
      </c>
      <c r="AJ889" t="n">
        <v>19</v>
      </c>
      <c r="AK889" t="n">
        <v>19</v>
      </c>
      <c r="AL889" t="n">
        <v>7</v>
      </c>
      <c r="AM889" t="n">
        <v>7</v>
      </c>
      <c r="AN889" t="n">
        <v>3</v>
      </c>
      <c r="AO889" t="n">
        <v>3</v>
      </c>
      <c r="AP889" t="inlineStr">
        <is>
          <t>No</t>
        </is>
      </c>
      <c r="AQ889" t="inlineStr">
        <is>
          <t>Yes</t>
        </is>
      </c>
      <c r="AR889">
        <f>HYPERLINK("http://catalog.hathitrust.org/Record/000429263","HathiTrust Record")</f>
        <v/>
      </c>
      <c r="AS889">
        <f>HYPERLINK("https://creighton-primo.hosted.exlibrisgroup.com/primo-explore/search?tab=default_tab&amp;search_scope=EVERYTHING&amp;vid=01CRU&amp;lang=en_US&amp;offset=0&amp;query=any,contains,991001231359702656","Catalog Record")</f>
        <v/>
      </c>
      <c r="AT889">
        <f>HYPERLINK("http://www.worldcat.org/oclc/203707","WorldCat Record")</f>
        <v/>
      </c>
      <c r="AU889" t="inlineStr">
        <is>
          <t>103208278:eng</t>
        </is>
      </c>
      <c r="AV889" t="inlineStr">
        <is>
          <t>203707</t>
        </is>
      </c>
      <c r="AW889" t="inlineStr">
        <is>
          <t>991001231359702656</t>
        </is>
      </c>
      <c r="AX889" t="inlineStr">
        <is>
          <t>991001231359702656</t>
        </is>
      </c>
      <c r="AY889" t="inlineStr">
        <is>
          <t>2255942030002656</t>
        </is>
      </c>
      <c r="AZ889" t="inlineStr">
        <is>
          <t>BOOK</t>
        </is>
      </c>
      <c r="BC889" t="inlineStr">
        <is>
          <t>32285001889129</t>
        </is>
      </c>
      <c r="BD889" t="inlineStr">
        <is>
          <t>893866069</t>
        </is>
      </c>
    </row>
    <row r="890">
      <c r="A890" t="inlineStr">
        <is>
          <t>No</t>
        </is>
      </c>
      <c r="B890" t="inlineStr">
        <is>
          <t>BF692 .R64</t>
        </is>
      </c>
      <c r="C890" t="inlineStr">
        <is>
          <t>0                      BF 0692000R  64</t>
        </is>
      </c>
      <c r="D890" t="inlineStr">
        <is>
          <t>Sex and identity [by] B. G. Rosenberg [and] Brian Sutton-Smith.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K890" t="inlineStr">
        <is>
          <t>Rosenberg, B. G. (Benjamin George), 1922-</t>
        </is>
      </c>
      <c r="L890" t="inlineStr">
        <is>
          <t>New York, Holt, Rinehart and Winston [1972]</t>
        </is>
      </c>
      <c r="M890" t="inlineStr">
        <is>
          <t>1972</t>
        </is>
      </c>
      <c r="O890" t="inlineStr">
        <is>
          <t>eng</t>
        </is>
      </c>
      <c r="P890" t="inlineStr">
        <is>
          <t>nyu</t>
        </is>
      </c>
      <c r="Q890" t="inlineStr">
        <is>
          <t>The Person in psychology series</t>
        </is>
      </c>
      <c r="R890" t="inlineStr">
        <is>
          <t xml:space="preserve">BF </t>
        </is>
      </c>
      <c r="S890" t="n">
        <v>1</v>
      </c>
      <c r="T890" t="n">
        <v>1</v>
      </c>
      <c r="U890" t="inlineStr">
        <is>
          <t>2004-11-22</t>
        </is>
      </c>
      <c r="V890" t="inlineStr">
        <is>
          <t>2004-11-22</t>
        </is>
      </c>
      <c r="W890" t="inlineStr">
        <is>
          <t>1996-08-02</t>
        </is>
      </c>
      <c r="X890" t="inlineStr">
        <is>
          <t>1996-08-02</t>
        </is>
      </c>
      <c r="Y890" t="n">
        <v>447</v>
      </c>
      <c r="Z890" t="n">
        <v>347</v>
      </c>
      <c r="AA890" t="n">
        <v>354</v>
      </c>
      <c r="AB890" t="n">
        <v>3</v>
      </c>
      <c r="AC890" t="n">
        <v>3</v>
      </c>
      <c r="AD890" t="n">
        <v>9</v>
      </c>
      <c r="AE890" t="n">
        <v>9</v>
      </c>
      <c r="AF890" t="n">
        <v>2</v>
      </c>
      <c r="AG890" t="n">
        <v>2</v>
      </c>
      <c r="AH890" t="n">
        <v>3</v>
      </c>
      <c r="AI890" t="n">
        <v>3</v>
      </c>
      <c r="AJ890" t="n">
        <v>6</v>
      </c>
      <c r="AK890" t="n">
        <v>6</v>
      </c>
      <c r="AL890" t="n">
        <v>2</v>
      </c>
      <c r="AM890" t="n">
        <v>2</v>
      </c>
      <c r="AN890" t="n">
        <v>0</v>
      </c>
      <c r="AO890" t="n">
        <v>0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HYPERLINK("http://catalog.hathitrust.org/Record/000425222","HathiTrust Record")</f>
        <v/>
      </c>
      <c r="AS890">
        <f>HYPERLINK("https://creighton-primo.hosted.exlibrisgroup.com/primo-explore/search?tab=default_tab&amp;search_scope=EVERYTHING&amp;vid=01CRU&amp;lang=en_US&amp;offset=0&amp;query=any,contains,991001928219702656","Catalog Record")</f>
        <v/>
      </c>
      <c r="AT890">
        <f>HYPERLINK("http://www.worldcat.org/oclc/247790","WorldCat Record")</f>
        <v/>
      </c>
      <c r="AU890" t="inlineStr">
        <is>
          <t>1406847:eng</t>
        </is>
      </c>
      <c r="AV890" t="inlineStr">
        <is>
          <t>247790</t>
        </is>
      </c>
      <c r="AW890" t="inlineStr">
        <is>
          <t>991001928219702656</t>
        </is>
      </c>
      <c r="AX890" t="inlineStr">
        <is>
          <t>991001928219702656</t>
        </is>
      </c>
      <c r="AY890" t="inlineStr">
        <is>
          <t>2258017370002656</t>
        </is>
      </c>
      <c r="AZ890" t="inlineStr">
        <is>
          <t>BOOK</t>
        </is>
      </c>
      <c r="BB890" t="inlineStr">
        <is>
          <t>9780030790607</t>
        </is>
      </c>
      <c r="BC890" t="inlineStr">
        <is>
          <t>32285002252764</t>
        </is>
      </c>
      <c r="BD890" t="inlineStr">
        <is>
          <t>893238467</t>
        </is>
      </c>
    </row>
    <row r="891">
      <c r="A891" t="inlineStr">
        <is>
          <t>No</t>
        </is>
      </c>
      <c r="B891" t="inlineStr">
        <is>
          <t>BF692 .S49 1987</t>
        </is>
      </c>
      <c r="C891" t="inlineStr">
        <is>
          <t>0                      BF 0692000S  49          1987</t>
        </is>
      </c>
      <c r="D891" t="inlineStr">
        <is>
          <t>Sex and gender / editors, Phillip Shaver and Clyde Hendrick.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L891" t="inlineStr">
        <is>
          <t>Newbury Park, Calif. : Sage Publications, c1987.</t>
        </is>
      </c>
      <c r="M891" t="inlineStr">
        <is>
          <t>1987</t>
        </is>
      </c>
      <c r="O891" t="inlineStr">
        <is>
          <t>eng</t>
        </is>
      </c>
      <c r="P891" t="inlineStr">
        <is>
          <t>cau</t>
        </is>
      </c>
      <c r="Q891" t="inlineStr">
        <is>
          <t>Review of personality and social psychology, 0270-1987 ; 7</t>
        </is>
      </c>
      <c r="R891" t="inlineStr">
        <is>
          <t xml:space="preserve">BF </t>
        </is>
      </c>
      <c r="S891" t="n">
        <v>9</v>
      </c>
      <c r="T891" t="n">
        <v>9</v>
      </c>
      <c r="U891" t="inlineStr">
        <is>
          <t>2007-12-01</t>
        </is>
      </c>
      <c r="V891" t="inlineStr">
        <is>
          <t>2007-12-01</t>
        </is>
      </c>
      <c r="W891" t="inlineStr">
        <is>
          <t>1990-03-27</t>
        </is>
      </c>
      <c r="X891" t="inlineStr">
        <is>
          <t>1990-03-27</t>
        </is>
      </c>
      <c r="Y891" t="n">
        <v>452</v>
      </c>
      <c r="Z891" t="n">
        <v>324</v>
      </c>
      <c r="AA891" t="n">
        <v>332</v>
      </c>
      <c r="AB891" t="n">
        <v>3</v>
      </c>
      <c r="AC891" t="n">
        <v>3</v>
      </c>
      <c r="AD891" t="n">
        <v>17</v>
      </c>
      <c r="AE891" t="n">
        <v>17</v>
      </c>
      <c r="AF891" t="n">
        <v>4</v>
      </c>
      <c r="AG891" t="n">
        <v>4</v>
      </c>
      <c r="AH891" t="n">
        <v>4</v>
      </c>
      <c r="AI891" t="n">
        <v>4</v>
      </c>
      <c r="AJ891" t="n">
        <v>11</v>
      </c>
      <c r="AK891" t="n">
        <v>11</v>
      </c>
      <c r="AL891" t="n">
        <v>2</v>
      </c>
      <c r="AM891" t="n">
        <v>2</v>
      </c>
      <c r="AN891" t="n">
        <v>1</v>
      </c>
      <c r="AO891" t="n">
        <v>1</v>
      </c>
      <c r="AP891" t="inlineStr">
        <is>
          <t>No</t>
        </is>
      </c>
      <c r="AQ891" t="inlineStr">
        <is>
          <t>No</t>
        </is>
      </c>
      <c r="AS891">
        <f>HYPERLINK("https://creighton-primo.hosted.exlibrisgroup.com/primo-explore/search?tab=default_tab&amp;search_scope=EVERYTHING&amp;vid=01CRU&amp;lang=en_US&amp;offset=0&amp;query=any,contains,991001002069702656","Catalog Record")</f>
        <v/>
      </c>
      <c r="AT891">
        <f>HYPERLINK("http://www.worldcat.org/oclc/18882379","WorldCat Record")</f>
        <v/>
      </c>
      <c r="AU891" t="inlineStr">
        <is>
          <t>350141944:eng</t>
        </is>
      </c>
      <c r="AV891" t="inlineStr">
        <is>
          <t>18882379</t>
        </is>
      </c>
      <c r="AW891" t="inlineStr">
        <is>
          <t>991001002069702656</t>
        </is>
      </c>
      <c r="AX891" t="inlineStr">
        <is>
          <t>991001002069702656</t>
        </is>
      </c>
      <c r="AY891" t="inlineStr">
        <is>
          <t>2267102860002656</t>
        </is>
      </c>
      <c r="AZ891" t="inlineStr">
        <is>
          <t>BOOK</t>
        </is>
      </c>
      <c r="BB891" t="inlineStr">
        <is>
          <t>9780803929302</t>
        </is>
      </c>
      <c r="BC891" t="inlineStr">
        <is>
          <t>32285005297675</t>
        </is>
      </c>
      <c r="BD891" t="inlineStr">
        <is>
          <t>893528575</t>
        </is>
      </c>
    </row>
    <row r="892">
      <c r="A892" t="inlineStr">
        <is>
          <t>No</t>
        </is>
      </c>
      <c r="B892" t="inlineStr">
        <is>
          <t>BF692 .S75 1968</t>
        </is>
      </c>
      <c r="C892" t="inlineStr">
        <is>
          <t>0                      BF 0692000S  75          1968</t>
        </is>
      </c>
      <c r="D892" t="inlineStr">
        <is>
          <t>Introduction to the psychoanalytic theory of the libido.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Sterba, Richard F.</t>
        </is>
      </c>
      <c r="L892" t="inlineStr">
        <is>
          <t>[New York] R. Brunner, 1968.</t>
        </is>
      </c>
      <c r="M892" t="inlineStr">
        <is>
          <t>1968</t>
        </is>
      </c>
      <c r="N892" t="inlineStr">
        <is>
          <t>3d ed.</t>
        </is>
      </c>
      <c r="O892" t="inlineStr">
        <is>
          <t>eng</t>
        </is>
      </c>
      <c r="P892" t="inlineStr">
        <is>
          <t>nyu</t>
        </is>
      </c>
      <c r="R892" t="inlineStr">
        <is>
          <t xml:space="preserve">BF </t>
        </is>
      </c>
      <c r="S892" t="n">
        <v>4</v>
      </c>
      <c r="T892" t="n">
        <v>4</v>
      </c>
      <c r="U892" t="inlineStr">
        <is>
          <t>2004-04-20</t>
        </is>
      </c>
      <c r="V892" t="inlineStr">
        <is>
          <t>2004-04-20</t>
        </is>
      </c>
      <c r="W892" t="inlineStr">
        <is>
          <t>1996-08-02</t>
        </is>
      </c>
      <c r="X892" t="inlineStr">
        <is>
          <t>1996-08-02</t>
        </is>
      </c>
      <c r="Y892" t="n">
        <v>247</v>
      </c>
      <c r="Z892" t="n">
        <v>220</v>
      </c>
      <c r="AA892" t="n">
        <v>293</v>
      </c>
      <c r="AB892" t="n">
        <v>1</v>
      </c>
      <c r="AC892" t="n">
        <v>1</v>
      </c>
      <c r="AD892" t="n">
        <v>10</v>
      </c>
      <c r="AE892" t="n">
        <v>11</v>
      </c>
      <c r="AF892" t="n">
        <v>3</v>
      </c>
      <c r="AG892" t="n">
        <v>3</v>
      </c>
      <c r="AH892" t="n">
        <v>2</v>
      </c>
      <c r="AI892" t="n">
        <v>2</v>
      </c>
      <c r="AJ892" t="n">
        <v>8</v>
      </c>
      <c r="AK892" t="n">
        <v>9</v>
      </c>
      <c r="AL892" t="n">
        <v>0</v>
      </c>
      <c r="AM892" t="n">
        <v>0</v>
      </c>
      <c r="AN892" t="n">
        <v>0</v>
      </c>
      <c r="AO892" t="n">
        <v>0</v>
      </c>
      <c r="AP892" t="inlineStr">
        <is>
          <t>No</t>
        </is>
      </c>
      <c r="AQ892" t="inlineStr">
        <is>
          <t>Yes</t>
        </is>
      </c>
      <c r="AR892">
        <f>HYPERLINK("http://catalog.hathitrust.org/Record/000425735","HathiTrust Record")</f>
        <v/>
      </c>
      <c r="AS892">
        <f>HYPERLINK("https://creighton-primo.hosted.exlibrisgroup.com/primo-explore/search?tab=default_tab&amp;search_scope=EVERYTHING&amp;vid=01CRU&amp;lang=en_US&amp;offset=0&amp;query=any,contains,991002788439702656","Catalog Record")</f>
        <v/>
      </c>
      <c r="AT892">
        <f>HYPERLINK("http://www.worldcat.org/oclc/442536","WorldCat Record")</f>
        <v/>
      </c>
      <c r="AU892" t="inlineStr">
        <is>
          <t>149558:eng</t>
        </is>
      </c>
      <c r="AV892" t="inlineStr">
        <is>
          <t>442536</t>
        </is>
      </c>
      <c r="AW892" t="inlineStr">
        <is>
          <t>991002788439702656</t>
        </is>
      </c>
      <c r="AX892" t="inlineStr">
        <is>
          <t>991002788439702656</t>
        </is>
      </c>
      <c r="AY892" t="inlineStr">
        <is>
          <t>2255951110002656</t>
        </is>
      </c>
      <c r="AZ892" t="inlineStr">
        <is>
          <t>BOOK</t>
        </is>
      </c>
      <c r="BC892" t="inlineStr">
        <is>
          <t>32285002252780</t>
        </is>
      </c>
      <c r="BD892" t="inlineStr">
        <is>
          <t>893530473</t>
        </is>
      </c>
    </row>
    <row r="893">
      <c r="A893" t="inlineStr">
        <is>
          <t>No</t>
        </is>
      </c>
      <c r="B893" t="inlineStr">
        <is>
          <t>BF692 .S76</t>
        </is>
      </c>
      <c r="C893" t="inlineStr">
        <is>
          <t>0                      BF 0692000S  76</t>
        </is>
      </c>
      <c r="D893" t="inlineStr">
        <is>
          <t>The flight from woman.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Stern, Karl.</t>
        </is>
      </c>
      <c r="L893" t="inlineStr">
        <is>
          <t>New York : Farrar, Straus and Giroux, [1965]</t>
        </is>
      </c>
      <c r="M893" t="inlineStr">
        <is>
          <t>1965</t>
        </is>
      </c>
      <c r="O893" t="inlineStr">
        <is>
          <t>eng</t>
        </is>
      </c>
      <c r="P893" t="inlineStr">
        <is>
          <t>nyu</t>
        </is>
      </c>
      <c r="R893" t="inlineStr">
        <is>
          <t xml:space="preserve">BF </t>
        </is>
      </c>
      <c r="S893" t="n">
        <v>1</v>
      </c>
      <c r="T893" t="n">
        <v>1</v>
      </c>
      <c r="U893" t="inlineStr">
        <is>
          <t>2010-07-19</t>
        </is>
      </c>
      <c r="V893" t="inlineStr">
        <is>
          <t>2010-07-19</t>
        </is>
      </c>
      <c r="W893" t="inlineStr">
        <is>
          <t>1991-07-03</t>
        </is>
      </c>
      <c r="X893" t="inlineStr">
        <is>
          <t>1991-07-03</t>
        </is>
      </c>
      <c r="Y893" t="n">
        <v>450</v>
      </c>
      <c r="Z893" t="n">
        <v>403</v>
      </c>
      <c r="AA893" t="n">
        <v>574</v>
      </c>
      <c r="AB893" t="n">
        <v>4</v>
      </c>
      <c r="AC893" t="n">
        <v>4</v>
      </c>
      <c r="AD893" t="n">
        <v>29</v>
      </c>
      <c r="AE893" t="n">
        <v>34</v>
      </c>
      <c r="AF893" t="n">
        <v>9</v>
      </c>
      <c r="AG893" t="n">
        <v>13</v>
      </c>
      <c r="AH893" t="n">
        <v>10</v>
      </c>
      <c r="AI893" t="n">
        <v>10</v>
      </c>
      <c r="AJ893" t="n">
        <v>19</v>
      </c>
      <c r="AK893" t="n">
        <v>21</v>
      </c>
      <c r="AL893" t="n">
        <v>1</v>
      </c>
      <c r="AM893" t="n">
        <v>1</v>
      </c>
      <c r="AN893" t="n">
        <v>0</v>
      </c>
      <c r="AO893" t="n">
        <v>0</v>
      </c>
      <c r="AP893" t="inlineStr">
        <is>
          <t>No</t>
        </is>
      </c>
      <c r="AQ893" t="inlineStr">
        <is>
          <t>Yes</t>
        </is>
      </c>
      <c r="AR893">
        <f>HYPERLINK("http://catalog.hathitrust.org/Record/000425737","HathiTrust Record")</f>
        <v/>
      </c>
      <c r="AS893">
        <f>HYPERLINK("https://creighton-primo.hosted.exlibrisgroup.com/primo-explore/search?tab=default_tab&amp;search_scope=EVERYTHING&amp;vid=01CRU&amp;lang=en_US&amp;offset=0&amp;query=any,contains,991003042749702656","Catalog Record")</f>
        <v/>
      </c>
      <c r="AT893">
        <f>HYPERLINK("http://www.worldcat.org/oclc/604041","WorldCat Record")</f>
        <v/>
      </c>
      <c r="AU893" t="inlineStr">
        <is>
          <t>1611064:eng</t>
        </is>
      </c>
      <c r="AV893" t="inlineStr">
        <is>
          <t>604041</t>
        </is>
      </c>
      <c r="AW893" t="inlineStr">
        <is>
          <t>991003042749702656</t>
        </is>
      </c>
      <c r="AX893" t="inlineStr">
        <is>
          <t>991003042749702656</t>
        </is>
      </c>
      <c r="AY893" t="inlineStr">
        <is>
          <t>2260714910002656</t>
        </is>
      </c>
      <c r="AZ893" t="inlineStr">
        <is>
          <t>BOOK</t>
        </is>
      </c>
      <c r="BC893" t="inlineStr">
        <is>
          <t>32285000636018</t>
        </is>
      </c>
      <c r="BD893" t="inlineStr">
        <is>
          <t>893409863</t>
        </is>
      </c>
    </row>
    <row r="894">
      <c r="A894" t="inlineStr">
        <is>
          <t>No</t>
        </is>
      </c>
      <c r="B894" t="inlineStr">
        <is>
          <t>BF692 .Z54 1984</t>
        </is>
      </c>
      <c r="C894" t="inlineStr">
        <is>
          <t>0                      BF 0692000Z  54          1984</t>
        </is>
      </c>
      <c r="D894" t="inlineStr">
        <is>
          <t>Connections between sex and aggression / Dolf Zillmann.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Zillmann, Dolf.</t>
        </is>
      </c>
      <c r="L894" t="inlineStr">
        <is>
          <t>Hillsdale, N.J. : Lawrence Erlbaum Associates, 1984.</t>
        </is>
      </c>
      <c r="M894" t="inlineStr">
        <is>
          <t>1984</t>
        </is>
      </c>
      <c r="O894" t="inlineStr">
        <is>
          <t>eng</t>
        </is>
      </c>
      <c r="P894" t="inlineStr">
        <is>
          <t>nju</t>
        </is>
      </c>
      <c r="R894" t="inlineStr">
        <is>
          <t xml:space="preserve">BF </t>
        </is>
      </c>
      <c r="S894" t="n">
        <v>8</v>
      </c>
      <c r="T894" t="n">
        <v>8</v>
      </c>
      <c r="U894" t="inlineStr">
        <is>
          <t>2000-12-01</t>
        </is>
      </c>
      <c r="V894" t="inlineStr">
        <is>
          <t>2000-12-01</t>
        </is>
      </c>
      <c r="W894" t="inlineStr">
        <is>
          <t>1993-04-05</t>
        </is>
      </c>
      <c r="X894" t="inlineStr">
        <is>
          <t>1993-04-05</t>
        </is>
      </c>
      <c r="Y894" t="n">
        <v>600</v>
      </c>
      <c r="Z894" t="n">
        <v>532</v>
      </c>
      <c r="AA894" t="n">
        <v>541</v>
      </c>
      <c r="AB894" t="n">
        <v>4</v>
      </c>
      <c r="AC894" t="n">
        <v>4</v>
      </c>
      <c r="AD894" t="n">
        <v>20</v>
      </c>
      <c r="AE894" t="n">
        <v>20</v>
      </c>
      <c r="AF894" t="n">
        <v>6</v>
      </c>
      <c r="AG894" t="n">
        <v>6</v>
      </c>
      <c r="AH894" t="n">
        <v>8</v>
      </c>
      <c r="AI894" t="n">
        <v>8</v>
      </c>
      <c r="AJ894" t="n">
        <v>7</v>
      </c>
      <c r="AK894" t="n">
        <v>7</v>
      </c>
      <c r="AL894" t="n">
        <v>3</v>
      </c>
      <c r="AM894" t="n">
        <v>3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HYPERLINK("http://catalog.hathitrust.org/Record/000205889","HathiTrust Record")</f>
        <v/>
      </c>
      <c r="AS894">
        <f>HYPERLINK("https://creighton-primo.hosted.exlibrisgroup.com/primo-explore/search?tab=default_tab&amp;search_scope=EVERYTHING&amp;vid=01CRU&amp;lang=en_US&amp;offset=0&amp;query=any,contains,991000312719702656","Catalog Record")</f>
        <v/>
      </c>
      <c r="AT894">
        <f>HYPERLINK("http://www.worldcat.org/oclc/10100738","WorldCat Record")</f>
        <v/>
      </c>
      <c r="AU894" t="inlineStr">
        <is>
          <t>1378863467:eng</t>
        </is>
      </c>
      <c r="AV894" t="inlineStr">
        <is>
          <t>10100738</t>
        </is>
      </c>
      <c r="AW894" t="inlineStr">
        <is>
          <t>991000312719702656</t>
        </is>
      </c>
      <c r="AX894" t="inlineStr">
        <is>
          <t>991000312719702656</t>
        </is>
      </c>
      <c r="AY894" t="inlineStr">
        <is>
          <t>2256141290002656</t>
        </is>
      </c>
      <c r="AZ894" t="inlineStr">
        <is>
          <t>BOOK</t>
        </is>
      </c>
      <c r="BB894" t="inlineStr">
        <is>
          <t>9780898593334</t>
        </is>
      </c>
      <c r="BC894" t="inlineStr">
        <is>
          <t>32285001601185</t>
        </is>
      </c>
      <c r="BD894" t="inlineStr">
        <is>
          <t>893425585</t>
        </is>
      </c>
    </row>
    <row r="895">
      <c r="A895" t="inlineStr">
        <is>
          <t>No</t>
        </is>
      </c>
      <c r="B895" t="inlineStr">
        <is>
          <t>BF692.2 .C66 1985</t>
        </is>
      </c>
      <c r="C895" t="inlineStr">
        <is>
          <t>0                      BF 0692200C  66          1985</t>
        </is>
      </c>
      <c r="D895" t="inlineStr">
        <is>
          <t>Psychological androgyny / Ellen Piel Cook.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K895" t="inlineStr">
        <is>
          <t>Cook, Ellen Piel, 1952-</t>
        </is>
      </c>
      <c r="L895" t="inlineStr">
        <is>
          <t>New York : Pergamon Press, c1985.</t>
        </is>
      </c>
      <c r="M895" t="inlineStr">
        <is>
          <t>1985</t>
        </is>
      </c>
      <c r="O895" t="inlineStr">
        <is>
          <t>eng</t>
        </is>
      </c>
      <c r="P895" t="inlineStr">
        <is>
          <t>nyu</t>
        </is>
      </c>
      <c r="Q895" t="inlineStr">
        <is>
          <t>Pergamon general psychology series ; 133</t>
        </is>
      </c>
      <c r="R895" t="inlineStr">
        <is>
          <t xml:space="preserve">BF </t>
        </is>
      </c>
      <c r="S895" t="n">
        <v>3</v>
      </c>
      <c r="T895" t="n">
        <v>3</v>
      </c>
      <c r="U895" t="inlineStr">
        <is>
          <t>2006-06-18</t>
        </is>
      </c>
      <c r="V895" t="inlineStr">
        <is>
          <t>2006-06-18</t>
        </is>
      </c>
      <c r="W895" t="inlineStr">
        <is>
          <t>1992-03-26</t>
        </is>
      </c>
      <c r="X895" t="inlineStr">
        <is>
          <t>1992-03-26</t>
        </is>
      </c>
      <c r="Y895" t="n">
        <v>696</v>
      </c>
      <c r="Z895" t="n">
        <v>574</v>
      </c>
      <c r="AA895" t="n">
        <v>581</v>
      </c>
      <c r="AB895" t="n">
        <v>4</v>
      </c>
      <c r="AC895" t="n">
        <v>4</v>
      </c>
      <c r="AD895" t="n">
        <v>22</v>
      </c>
      <c r="AE895" t="n">
        <v>22</v>
      </c>
      <c r="AF895" t="n">
        <v>11</v>
      </c>
      <c r="AG895" t="n">
        <v>11</v>
      </c>
      <c r="AH895" t="n">
        <v>4</v>
      </c>
      <c r="AI895" t="n">
        <v>4</v>
      </c>
      <c r="AJ895" t="n">
        <v>10</v>
      </c>
      <c r="AK895" t="n">
        <v>10</v>
      </c>
      <c r="AL895" t="n">
        <v>3</v>
      </c>
      <c r="AM895" t="n">
        <v>3</v>
      </c>
      <c r="AN895" t="n">
        <v>0</v>
      </c>
      <c r="AO895" t="n">
        <v>0</v>
      </c>
      <c r="AP895" t="inlineStr">
        <is>
          <t>No</t>
        </is>
      </c>
      <c r="AQ895" t="inlineStr">
        <is>
          <t>Yes</t>
        </is>
      </c>
      <c r="AR895">
        <f>HYPERLINK("http://catalog.hathitrust.org/Record/000569915","HathiTrust Record")</f>
        <v/>
      </c>
      <c r="AS895">
        <f>HYPERLINK("https://creighton-primo.hosted.exlibrisgroup.com/primo-explore/search?tab=default_tab&amp;search_scope=EVERYTHING&amp;vid=01CRU&amp;lang=en_US&amp;offset=0&amp;query=any,contains,991000562249702656","Catalog Record")</f>
        <v/>
      </c>
      <c r="AT895">
        <f>HYPERLINK("http://www.worldcat.org/oclc/11599197","WorldCat Record")</f>
        <v/>
      </c>
      <c r="AU895" t="inlineStr">
        <is>
          <t>4749084:eng</t>
        </is>
      </c>
      <c r="AV895" t="inlineStr">
        <is>
          <t>11599197</t>
        </is>
      </c>
      <c r="AW895" t="inlineStr">
        <is>
          <t>991000562249702656</t>
        </is>
      </c>
      <c r="AX895" t="inlineStr">
        <is>
          <t>991000562249702656</t>
        </is>
      </c>
      <c r="AY895" t="inlineStr">
        <is>
          <t>2261533500002656</t>
        </is>
      </c>
      <c r="AZ895" t="inlineStr">
        <is>
          <t>BOOK</t>
        </is>
      </c>
      <c r="BB895" t="inlineStr">
        <is>
          <t>9780080316123</t>
        </is>
      </c>
      <c r="BC895" t="inlineStr">
        <is>
          <t>32285001004794</t>
        </is>
      </c>
      <c r="BD895" t="inlineStr">
        <is>
          <t>893351575</t>
        </is>
      </c>
    </row>
    <row r="896">
      <c r="A896" t="inlineStr">
        <is>
          <t>No</t>
        </is>
      </c>
      <c r="B896" t="inlineStr">
        <is>
          <t>BF692.2 .G66</t>
        </is>
      </c>
      <c r="C896" t="inlineStr">
        <is>
          <t>0                      BF 0692200G  66</t>
        </is>
      </c>
      <c r="D896" t="inlineStr">
        <is>
          <t>Turning points / Ellen Goodman.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Goodman, Ellen.</t>
        </is>
      </c>
      <c r="L896" t="inlineStr">
        <is>
          <t>Garden City, N.Y. : Doubleday, 1979.</t>
        </is>
      </c>
      <c r="M896" t="inlineStr">
        <is>
          <t>1979</t>
        </is>
      </c>
      <c r="N896" t="inlineStr">
        <is>
          <t>1st ed.</t>
        </is>
      </c>
      <c r="O896" t="inlineStr">
        <is>
          <t>eng</t>
        </is>
      </c>
      <c r="P896" t="inlineStr">
        <is>
          <t>nyu</t>
        </is>
      </c>
      <c r="R896" t="inlineStr">
        <is>
          <t xml:space="preserve">BF </t>
        </is>
      </c>
      <c r="S896" t="n">
        <v>1</v>
      </c>
      <c r="T896" t="n">
        <v>1</v>
      </c>
      <c r="U896" t="inlineStr">
        <is>
          <t>2001-12-21</t>
        </is>
      </c>
      <c r="V896" t="inlineStr">
        <is>
          <t>2001-12-21</t>
        </is>
      </c>
      <c r="W896" t="inlineStr">
        <is>
          <t>1993-04-05</t>
        </is>
      </c>
      <c r="X896" t="inlineStr">
        <is>
          <t>1993-04-05</t>
        </is>
      </c>
      <c r="Y896" t="n">
        <v>444</v>
      </c>
      <c r="Z896" t="n">
        <v>433</v>
      </c>
      <c r="AA896" t="n">
        <v>524</v>
      </c>
      <c r="AB896" t="n">
        <v>4</v>
      </c>
      <c r="AC896" t="n">
        <v>4</v>
      </c>
      <c r="AD896" t="n">
        <v>10</v>
      </c>
      <c r="AE896" t="n">
        <v>11</v>
      </c>
      <c r="AF896" t="n">
        <v>3</v>
      </c>
      <c r="AG896" t="n">
        <v>4</v>
      </c>
      <c r="AH896" t="n">
        <v>0</v>
      </c>
      <c r="AI896" t="n">
        <v>0</v>
      </c>
      <c r="AJ896" t="n">
        <v>8</v>
      </c>
      <c r="AK896" t="n">
        <v>8</v>
      </c>
      <c r="AL896" t="n">
        <v>2</v>
      </c>
      <c r="AM896" t="n">
        <v>2</v>
      </c>
      <c r="AN896" t="n">
        <v>0</v>
      </c>
      <c r="AO896" t="n">
        <v>0</v>
      </c>
      <c r="AP896" t="inlineStr">
        <is>
          <t>No</t>
        </is>
      </c>
      <c r="AQ896" t="inlineStr">
        <is>
          <t>Yes</t>
        </is>
      </c>
      <c r="AR896">
        <f>HYPERLINK("http://catalog.hathitrust.org/Record/000257634","HathiTrust Record")</f>
        <v/>
      </c>
      <c r="AS896">
        <f>HYPERLINK("https://creighton-primo.hosted.exlibrisgroup.com/primo-explore/search?tab=default_tab&amp;search_scope=EVERYTHING&amp;vid=01CRU&amp;lang=en_US&amp;offset=0&amp;query=any,contains,991004672329702656","Catalog Record")</f>
        <v/>
      </c>
      <c r="AT896">
        <f>HYPERLINK("http://www.worldcat.org/oclc/4516151","WorldCat Record")</f>
        <v/>
      </c>
      <c r="AU896" t="inlineStr">
        <is>
          <t>3551580:eng</t>
        </is>
      </c>
      <c r="AV896" t="inlineStr">
        <is>
          <t>4516151</t>
        </is>
      </c>
      <c r="AW896" t="inlineStr">
        <is>
          <t>991004672329702656</t>
        </is>
      </c>
      <c r="AX896" t="inlineStr">
        <is>
          <t>991004672329702656</t>
        </is>
      </c>
      <c r="AY896" t="inlineStr">
        <is>
          <t>2264636560002656</t>
        </is>
      </c>
      <c r="AZ896" t="inlineStr">
        <is>
          <t>BOOK</t>
        </is>
      </c>
      <c r="BB896" t="inlineStr">
        <is>
          <t>9780385098144</t>
        </is>
      </c>
      <c r="BC896" t="inlineStr">
        <is>
          <t>32285001601201</t>
        </is>
      </c>
      <c r="BD896" t="inlineStr">
        <is>
          <t>893253976</t>
        </is>
      </c>
    </row>
    <row r="897">
      <c r="A897" t="inlineStr">
        <is>
          <t>No</t>
        </is>
      </c>
      <c r="B897" t="inlineStr">
        <is>
          <t>BF692.2 .L56</t>
        </is>
      </c>
      <c r="C897" t="inlineStr">
        <is>
          <t>0                      BF 0692200L  56</t>
        </is>
      </c>
      <c r="D897" t="inlineStr">
        <is>
          <t>The psychology of sex differences / Hilary M. Lips &amp; Nina Lee Colwill.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Lips, Hilary M.</t>
        </is>
      </c>
      <c r="L897" t="inlineStr">
        <is>
          <t>Englewood Cliffs, N.J. : Prentice-Hall, c1978.</t>
        </is>
      </c>
      <c r="M897" t="inlineStr">
        <is>
          <t>1978</t>
        </is>
      </c>
      <c r="O897" t="inlineStr">
        <is>
          <t>eng</t>
        </is>
      </c>
      <c r="P897" t="inlineStr">
        <is>
          <t>nju</t>
        </is>
      </c>
      <c r="Q897" t="inlineStr">
        <is>
          <t>A Spectrum book</t>
        </is>
      </c>
      <c r="R897" t="inlineStr">
        <is>
          <t xml:space="preserve">BF </t>
        </is>
      </c>
      <c r="S897" t="n">
        <v>7</v>
      </c>
      <c r="T897" t="n">
        <v>7</v>
      </c>
      <c r="U897" t="inlineStr">
        <is>
          <t>2006-10-03</t>
        </is>
      </c>
      <c r="V897" t="inlineStr">
        <is>
          <t>2006-10-03</t>
        </is>
      </c>
      <c r="W897" t="inlineStr">
        <is>
          <t>1993-06-24</t>
        </is>
      </c>
      <c r="X897" t="inlineStr">
        <is>
          <t>1993-06-24</t>
        </is>
      </c>
      <c r="Y897" t="n">
        <v>683</v>
      </c>
      <c r="Z897" t="n">
        <v>546</v>
      </c>
      <c r="AA897" t="n">
        <v>554</v>
      </c>
      <c r="AB897" t="n">
        <v>5</v>
      </c>
      <c r="AC897" t="n">
        <v>5</v>
      </c>
      <c r="AD897" t="n">
        <v>24</v>
      </c>
      <c r="AE897" t="n">
        <v>24</v>
      </c>
      <c r="AF897" t="n">
        <v>9</v>
      </c>
      <c r="AG897" t="n">
        <v>9</v>
      </c>
      <c r="AH897" t="n">
        <v>5</v>
      </c>
      <c r="AI897" t="n">
        <v>5</v>
      </c>
      <c r="AJ897" t="n">
        <v>14</v>
      </c>
      <c r="AK897" t="n">
        <v>14</v>
      </c>
      <c r="AL897" t="n">
        <v>3</v>
      </c>
      <c r="AM897" t="n">
        <v>3</v>
      </c>
      <c r="AN897" t="n">
        <v>0</v>
      </c>
      <c r="AO897" t="n">
        <v>0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HYPERLINK("http://catalog.hathitrust.org/Record/000724149","HathiTrust Record")</f>
        <v/>
      </c>
      <c r="AS897">
        <f>HYPERLINK("https://creighton-primo.hosted.exlibrisgroup.com/primo-explore/search?tab=default_tab&amp;search_scope=EVERYTHING&amp;vid=01CRU&amp;lang=en_US&amp;offset=0&amp;query=any,contains,991004663339702656","Catalog Record")</f>
        <v/>
      </c>
      <c r="AT897">
        <f>HYPERLINK("http://www.worldcat.org/oclc/4498730","WorldCat Record")</f>
        <v/>
      </c>
      <c r="AU897" t="inlineStr">
        <is>
          <t>411981:eng</t>
        </is>
      </c>
      <c r="AV897" t="inlineStr">
        <is>
          <t>4498730</t>
        </is>
      </c>
      <c r="AW897" t="inlineStr">
        <is>
          <t>991004663339702656</t>
        </is>
      </c>
      <c r="AX897" t="inlineStr">
        <is>
          <t>991004663339702656</t>
        </is>
      </c>
      <c r="AY897" t="inlineStr">
        <is>
          <t>2262974240002656</t>
        </is>
      </c>
      <c r="AZ897" t="inlineStr">
        <is>
          <t>BOOK</t>
        </is>
      </c>
      <c r="BB897" t="inlineStr">
        <is>
          <t>9780137365616</t>
        </is>
      </c>
      <c r="BC897" t="inlineStr">
        <is>
          <t>32285001732097</t>
        </is>
      </c>
      <c r="BD897" t="inlineStr">
        <is>
          <t>893889021</t>
        </is>
      </c>
    </row>
    <row r="898">
      <c r="A898" t="inlineStr">
        <is>
          <t>No</t>
        </is>
      </c>
      <c r="B898" t="inlineStr">
        <is>
          <t>BF692.2 .M38 1980</t>
        </is>
      </c>
      <c r="C898" t="inlineStr">
        <is>
          <t>0                      BF 0692200M  38          1980</t>
        </is>
      </c>
      <c r="D898" t="inlineStr">
        <is>
          <t>Sex and fantasy : patterns of male and female development / Robert May.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K898" t="inlineStr">
        <is>
          <t>May, Robert, 1940-</t>
        </is>
      </c>
      <c r="L898" t="inlineStr">
        <is>
          <t>New York : Norton, c1980.</t>
        </is>
      </c>
      <c r="M898" t="inlineStr">
        <is>
          <t>1980</t>
        </is>
      </c>
      <c r="N898" t="inlineStr">
        <is>
          <t>1st ed.</t>
        </is>
      </c>
      <c r="O898" t="inlineStr">
        <is>
          <t>eng</t>
        </is>
      </c>
      <c r="P898" t="inlineStr">
        <is>
          <t>nyu</t>
        </is>
      </c>
      <c r="R898" t="inlineStr">
        <is>
          <t xml:space="preserve">BF </t>
        </is>
      </c>
      <c r="S898" t="n">
        <v>11</v>
      </c>
      <c r="T898" t="n">
        <v>11</v>
      </c>
      <c r="U898" t="inlineStr">
        <is>
          <t>2006-05-05</t>
        </is>
      </c>
      <c r="V898" t="inlineStr">
        <is>
          <t>2006-05-05</t>
        </is>
      </c>
      <c r="W898" t="inlineStr">
        <is>
          <t>1990-04-17</t>
        </is>
      </c>
      <c r="X898" t="inlineStr">
        <is>
          <t>1990-04-17</t>
        </is>
      </c>
      <c r="Y898" t="n">
        <v>699</v>
      </c>
      <c r="Z898" t="n">
        <v>618</v>
      </c>
      <c r="AA898" t="n">
        <v>631</v>
      </c>
      <c r="AB898" t="n">
        <v>2</v>
      </c>
      <c r="AC898" t="n">
        <v>2</v>
      </c>
      <c r="AD898" t="n">
        <v>18</v>
      </c>
      <c r="AE898" t="n">
        <v>19</v>
      </c>
      <c r="AF898" t="n">
        <v>5</v>
      </c>
      <c r="AG898" t="n">
        <v>6</v>
      </c>
      <c r="AH898" t="n">
        <v>6</v>
      </c>
      <c r="AI898" t="n">
        <v>6</v>
      </c>
      <c r="AJ898" t="n">
        <v>10</v>
      </c>
      <c r="AK898" t="n">
        <v>11</v>
      </c>
      <c r="AL898" t="n">
        <v>1</v>
      </c>
      <c r="AM898" t="n">
        <v>1</v>
      </c>
      <c r="AN898" t="n">
        <v>0</v>
      </c>
      <c r="AO898" t="n">
        <v>0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HYPERLINK("https://creighton-primo.hosted.exlibrisgroup.com/primo-explore/search?tab=default_tab&amp;search_scope=EVERYTHING&amp;vid=01CRU&amp;lang=en_US&amp;offset=0&amp;query=any,contains,991004879049702656","Catalog Record")</f>
        <v/>
      </c>
      <c r="AT898">
        <f>HYPERLINK("http://www.worldcat.org/oclc/5804008","WorldCat Record")</f>
        <v/>
      </c>
      <c r="AU898" t="inlineStr">
        <is>
          <t>519621:eng</t>
        </is>
      </c>
      <c r="AV898" t="inlineStr">
        <is>
          <t>5804008</t>
        </is>
      </c>
      <c r="AW898" t="inlineStr">
        <is>
          <t>991004879049702656</t>
        </is>
      </c>
      <c r="AX898" t="inlineStr">
        <is>
          <t>991004879049702656</t>
        </is>
      </c>
      <c r="AY898" t="inlineStr">
        <is>
          <t>2260138510002656</t>
        </is>
      </c>
      <c r="AZ898" t="inlineStr">
        <is>
          <t>BOOK</t>
        </is>
      </c>
      <c r="BB898" t="inlineStr">
        <is>
          <t>9780393013160</t>
        </is>
      </c>
      <c r="BC898" t="inlineStr">
        <is>
          <t>32285000122175</t>
        </is>
      </c>
      <c r="BD898" t="inlineStr">
        <is>
          <t>893350465</t>
        </is>
      </c>
    </row>
    <row r="899">
      <c r="A899" t="inlineStr">
        <is>
          <t>No</t>
        </is>
      </c>
      <c r="B899" t="inlineStr">
        <is>
          <t>BF692.2 .M66</t>
        </is>
      </c>
      <c r="C899" t="inlineStr">
        <is>
          <t>0                      BF 0692200M  66</t>
        </is>
      </c>
      <c r="D899" t="inlineStr">
        <is>
          <t>Sexual signatures : on being a man or a woman / John Money, Patricia Tucker.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Money, John, 1921-2006.</t>
        </is>
      </c>
      <c r="L899" t="inlineStr">
        <is>
          <t>Boston : Little, Brown, [1975]</t>
        </is>
      </c>
      <c r="M899" t="inlineStr">
        <is>
          <t>1975</t>
        </is>
      </c>
      <c r="N899" t="inlineStr">
        <is>
          <t>1st ed.</t>
        </is>
      </c>
      <c r="O899" t="inlineStr">
        <is>
          <t>eng</t>
        </is>
      </c>
      <c r="P899" t="inlineStr">
        <is>
          <t>mau</t>
        </is>
      </c>
      <c r="R899" t="inlineStr">
        <is>
          <t xml:space="preserve">BF </t>
        </is>
      </c>
      <c r="S899" t="n">
        <v>3</v>
      </c>
      <c r="T899" t="n">
        <v>3</v>
      </c>
      <c r="U899" t="inlineStr">
        <is>
          <t>1999-10-03</t>
        </is>
      </c>
      <c r="V899" t="inlineStr">
        <is>
          <t>1999-10-03</t>
        </is>
      </c>
      <c r="W899" t="inlineStr">
        <is>
          <t>1996-08-02</t>
        </is>
      </c>
      <c r="X899" t="inlineStr">
        <is>
          <t>1996-08-02</t>
        </is>
      </c>
      <c r="Y899" t="n">
        <v>932</v>
      </c>
      <c r="Z899" t="n">
        <v>836</v>
      </c>
      <c r="AA899" t="n">
        <v>842</v>
      </c>
      <c r="AB899" t="n">
        <v>6</v>
      </c>
      <c r="AC899" t="n">
        <v>6</v>
      </c>
      <c r="AD899" t="n">
        <v>33</v>
      </c>
      <c r="AE899" t="n">
        <v>33</v>
      </c>
      <c r="AF899" t="n">
        <v>15</v>
      </c>
      <c r="AG899" t="n">
        <v>15</v>
      </c>
      <c r="AH899" t="n">
        <v>10</v>
      </c>
      <c r="AI899" t="n">
        <v>10</v>
      </c>
      <c r="AJ899" t="n">
        <v>15</v>
      </c>
      <c r="AK899" t="n">
        <v>15</v>
      </c>
      <c r="AL899" t="n">
        <v>4</v>
      </c>
      <c r="AM899" t="n">
        <v>4</v>
      </c>
      <c r="AN899" t="n">
        <v>0</v>
      </c>
      <c r="AO899" t="n">
        <v>0</v>
      </c>
      <c r="AP899" t="inlineStr">
        <is>
          <t>No</t>
        </is>
      </c>
      <c r="AQ899" t="inlineStr">
        <is>
          <t>No</t>
        </is>
      </c>
      <c r="AS899">
        <f>HYPERLINK("https://creighton-primo.hosted.exlibrisgroup.com/primo-explore/search?tab=default_tab&amp;search_scope=EVERYTHING&amp;vid=01CRU&amp;lang=en_US&amp;offset=0&amp;query=any,contains,991003532869702656","Catalog Record")</f>
        <v/>
      </c>
      <c r="AT899">
        <f>HYPERLINK("http://www.worldcat.org/oclc/1095040","WorldCat Record")</f>
        <v/>
      </c>
      <c r="AU899" t="inlineStr">
        <is>
          <t>197270971:eng</t>
        </is>
      </c>
      <c r="AV899" t="inlineStr">
        <is>
          <t>1095040</t>
        </is>
      </c>
      <c r="AW899" t="inlineStr">
        <is>
          <t>991003532869702656</t>
        </is>
      </c>
      <c r="AX899" t="inlineStr">
        <is>
          <t>991003532869702656</t>
        </is>
      </c>
      <c r="AY899" t="inlineStr">
        <is>
          <t>2268074330002656</t>
        </is>
      </c>
      <c r="AZ899" t="inlineStr">
        <is>
          <t>BOOK</t>
        </is>
      </c>
      <c r="BB899" t="inlineStr">
        <is>
          <t>9780316578264</t>
        </is>
      </c>
      <c r="BC899" t="inlineStr">
        <is>
          <t>32285002252798</t>
        </is>
      </c>
      <c r="BD899" t="inlineStr">
        <is>
          <t>893352868</t>
        </is>
      </c>
    </row>
    <row r="900">
      <c r="A900" t="inlineStr">
        <is>
          <t>No</t>
        </is>
      </c>
      <c r="B900" t="inlineStr">
        <is>
          <t>BF692.2 .P77 1987</t>
        </is>
      </c>
      <c r="C900" t="inlineStr">
        <is>
          <t>0                      BF 0692200P  77          1987</t>
        </is>
      </c>
      <c r="D900" t="inlineStr">
        <is>
          <t>The Psychology of sex roles / edited by David J. Hargreaves and Ann M. Colley.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L900" t="inlineStr">
        <is>
          <t>Washington : Hemisphere Pub. Corp., c1987.</t>
        </is>
      </c>
      <c r="M900" t="inlineStr">
        <is>
          <t>1987</t>
        </is>
      </c>
      <c r="O900" t="inlineStr">
        <is>
          <t>eng</t>
        </is>
      </c>
      <c r="P900" t="inlineStr">
        <is>
          <t>dcu</t>
        </is>
      </c>
      <c r="R900" t="inlineStr">
        <is>
          <t xml:space="preserve">BF </t>
        </is>
      </c>
      <c r="S900" t="n">
        <v>10</v>
      </c>
      <c r="T900" t="n">
        <v>10</v>
      </c>
      <c r="U900" t="inlineStr">
        <is>
          <t>2005-11-23</t>
        </is>
      </c>
      <c r="V900" t="inlineStr">
        <is>
          <t>2005-11-23</t>
        </is>
      </c>
      <c r="W900" t="inlineStr">
        <is>
          <t>1991-12-09</t>
        </is>
      </c>
      <c r="X900" t="inlineStr">
        <is>
          <t>1991-12-09</t>
        </is>
      </c>
      <c r="Y900" t="n">
        <v>384</v>
      </c>
      <c r="Z900" t="n">
        <v>340</v>
      </c>
      <c r="AA900" t="n">
        <v>439</v>
      </c>
      <c r="AB900" t="n">
        <v>3</v>
      </c>
      <c r="AC900" t="n">
        <v>4</v>
      </c>
      <c r="AD900" t="n">
        <v>15</v>
      </c>
      <c r="AE900" t="n">
        <v>21</v>
      </c>
      <c r="AF900" t="n">
        <v>7</v>
      </c>
      <c r="AG900" t="n">
        <v>10</v>
      </c>
      <c r="AH900" t="n">
        <v>4</v>
      </c>
      <c r="AI900" t="n">
        <v>4</v>
      </c>
      <c r="AJ900" t="n">
        <v>6</v>
      </c>
      <c r="AK900" t="n">
        <v>9</v>
      </c>
      <c r="AL900" t="n">
        <v>2</v>
      </c>
      <c r="AM900" t="n">
        <v>3</v>
      </c>
      <c r="AN900" t="n">
        <v>0</v>
      </c>
      <c r="AO900" t="n">
        <v>0</v>
      </c>
      <c r="AP900" t="inlineStr">
        <is>
          <t>No</t>
        </is>
      </c>
      <c r="AQ900" t="inlineStr">
        <is>
          <t>No</t>
        </is>
      </c>
      <c r="AS900">
        <f>HYPERLINK("https://creighton-primo.hosted.exlibrisgroup.com/primo-explore/search?tab=default_tab&amp;search_scope=EVERYTHING&amp;vid=01CRU&amp;lang=en_US&amp;offset=0&amp;query=any,contains,991001080639702656","Catalog Record")</f>
        <v/>
      </c>
      <c r="AT900">
        <f>HYPERLINK("http://www.worldcat.org/oclc/16086156","WorldCat Record")</f>
        <v/>
      </c>
      <c r="AU900" t="inlineStr">
        <is>
          <t>479345476:eng</t>
        </is>
      </c>
      <c r="AV900" t="inlineStr">
        <is>
          <t>16086156</t>
        </is>
      </c>
      <c r="AW900" t="inlineStr">
        <is>
          <t>991001080639702656</t>
        </is>
      </c>
      <c r="AX900" t="inlineStr">
        <is>
          <t>991001080639702656</t>
        </is>
      </c>
      <c r="AY900" t="inlineStr">
        <is>
          <t>2257527750002656</t>
        </is>
      </c>
      <c r="AZ900" t="inlineStr">
        <is>
          <t>BOOK</t>
        </is>
      </c>
      <c r="BB900" t="inlineStr">
        <is>
          <t>9780891167761</t>
        </is>
      </c>
      <c r="BC900" t="inlineStr">
        <is>
          <t>32285000829746</t>
        </is>
      </c>
      <c r="BD900" t="inlineStr">
        <is>
          <t>893522274</t>
        </is>
      </c>
    </row>
    <row r="901">
      <c r="A901" t="inlineStr">
        <is>
          <t>No</t>
        </is>
      </c>
      <c r="B901" t="inlineStr">
        <is>
          <t>BF692.2 .S27</t>
        </is>
      </c>
      <c r="C901" t="inlineStr">
        <is>
          <t>0                      BF 0692200S  27</t>
        </is>
      </c>
      <c r="D901" t="inlineStr">
        <is>
          <t>Beyond sex roles / Alice G. Sargent.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Sargent, Alice G., 1939-</t>
        </is>
      </c>
      <c r="L901" t="inlineStr">
        <is>
          <t>St. Paul : West Pub. Co., c1977.</t>
        </is>
      </c>
      <c r="M901" t="inlineStr">
        <is>
          <t>1977</t>
        </is>
      </c>
      <c r="O901" t="inlineStr">
        <is>
          <t>eng</t>
        </is>
      </c>
      <c r="P901" t="inlineStr">
        <is>
          <t>mnu</t>
        </is>
      </c>
      <c r="R901" t="inlineStr">
        <is>
          <t xml:space="preserve">BF </t>
        </is>
      </c>
      <c r="S901" t="n">
        <v>6</v>
      </c>
      <c r="T901" t="n">
        <v>6</v>
      </c>
      <c r="U901" t="inlineStr">
        <is>
          <t>2009-04-20</t>
        </is>
      </c>
      <c r="V901" t="inlineStr">
        <is>
          <t>2009-04-20</t>
        </is>
      </c>
      <c r="W901" t="inlineStr">
        <is>
          <t>1993-04-05</t>
        </is>
      </c>
      <c r="X901" t="inlineStr">
        <is>
          <t>1993-04-05</t>
        </is>
      </c>
      <c r="Y901" t="n">
        <v>431</v>
      </c>
      <c r="Z901" t="n">
        <v>367</v>
      </c>
      <c r="AA901" t="n">
        <v>507</v>
      </c>
      <c r="AB901" t="n">
        <v>4</v>
      </c>
      <c r="AC901" t="n">
        <v>5</v>
      </c>
      <c r="AD901" t="n">
        <v>15</v>
      </c>
      <c r="AE901" t="n">
        <v>21</v>
      </c>
      <c r="AF901" t="n">
        <v>4</v>
      </c>
      <c r="AG901" t="n">
        <v>4</v>
      </c>
      <c r="AH901" t="n">
        <v>3</v>
      </c>
      <c r="AI901" t="n">
        <v>5</v>
      </c>
      <c r="AJ901" t="n">
        <v>10</v>
      </c>
      <c r="AK901" t="n">
        <v>13</v>
      </c>
      <c r="AL901" t="n">
        <v>2</v>
      </c>
      <c r="AM901" t="n">
        <v>3</v>
      </c>
      <c r="AN901" t="n">
        <v>0</v>
      </c>
      <c r="AO901" t="n">
        <v>1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HYPERLINK("https://creighton-primo.hosted.exlibrisgroup.com/primo-explore/search?tab=default_tab&amp;search_scope=EVERYTHING&amp;vid=01CRU&amp;lang=en_US&amp;offset=0&amp;query=any,contains,991004091999702656","Catalog Record")</f>
        <v/>
      </c>
      <c r="AT901">
        <f>HYPERLINK("http://www.worldcat.org/oclc/2346102","WorldCat Record")</f>
        <v/>
      </c>
      <c r="AU901" t="inlineStr">
        <is>
          <t>5017499:eng</t>
        </is>
      </c>
      <c r="AV901" t="inlineStr">
        <is>
          <t>2346102</t>
        </is>
      </c>
      <c r="AW901" t="inlineStr">
        <is>
          <t>991004091999702656</t>
        </is>
      </c>
      <c r="AX901" t="inlineStr">
        <is>
          <t>991004091999702656</t>
        </is>
      </c>
      <c r="AY901" t="inlineStr">
        <is>
          <t>2260866870002656</t>
        </is>
      </c>
      <c r="AZ901" t="inlineStr">
        <is>
          <t>BOOK</t>
        </is>
      </c>
      <c r="BB901" t="inlineStr">
        <is>
          <t>9780829901047</t>
        </is>
      </c>
      <c r="BC901" t="inlineStr">
        <is>
          <t>32285001601227</t>
        </is>
      </c>
      <c r="BD901" t="inlineStr">
        <is>
          <t>893781832</t>
        </is>
      </c>
    </row>
    <row r="902">
      <c r="A902" t="inlineStr">
        <is>
          <t>No</t>
        </is>
      </c>
      <c r="B902" t="inlineStr">
        <is>
          <t>BF692.2 .S29 1986</t>
        </is>
      </c>
      <c r="C902" t="inlineStr">
        <is>
          <t>0                      BF 0692200S  29          1986</t>
        </is>
      </c>
      <c r="D902" t="inlineStr">
        <is>
          <t>Sexual contradictions : psychology, psychoanalysis, and feminism / Janet Sayers.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Sayers, Janet.</t>
        </is>
      </c>
      <c r="L902" t="inlineStr">
        <is>
          <t>London ; New York : Tavistock Publications, 1986.</t>
        </is>
      </c>
      <c r="M902" t="inlineStr">
        <is>
          <t>1986</t>
        </is>
      </c>
      <c r="O902" t="inlineStr">
        <is>
          <t>eng</t>
        </is>
      </c>
      <c r="P902" t="inlineStr">
        <is>
          <t>enk</t>
        </is>
      </c>
      <c r="R902" t="inlineStr">
        <is>
          <t xml:space="preserve">BF </t>
        </is>
      </c>
      <c r="S902" t="n">
        <v>10</v>
      </c>
      <c r="T902" t="n">
        <v>10</v>
      </c>
      <c r="U902" t="inlineStr">
        <is>
          <t>2000-02-20</t>
        </is>
      </c>
      <c r="V902" t="inlineStr">
        <is>
          <t>2000-02-20</t>
        </is>
      </c>
      <c r="W902" t="inlineStr">
        <is>
          <t>1991-12-10</t>
        </is>
      </c>
      <c r="X902" t="inlineStr">
        <is>
          <t>1991-12-10</t>
        </is>
      </c>
      <c r="Y902" t="n">
        <v>569</v>
      </c>
      <c r="Z902" t="n">
        <v>410</v>
      </c>
      <c r="AA902" t="n">
        <v>418</v>
      </c>
      <c r="AB902" t="n">
        <v>3</v>
      </c>
      <c r="AC902" t="n">
        <v>3</v>
      </c>
      <c r="AD902" t="n">
        <v>23</v>
      </c>
      <c r="AE902" t="n">
        <v>23</v>
      </c>
      <c r="AF902" t="n">
        <v>8</v>
      </c>
      <c r="AG902" t="n">
        <v>8</v>
      </c>
      <c r="AH902" t="n">
        <v>7</v>
      </c>
      <c r="AI902" t="n">
        <v>7</v>
      </c>
      <c r="AJ902" t="n">
        <v>11</v>
      </c>
      <c r="AK902" t="n">
        <v>11</v>
      </c>
      <c r="AL902" t="n">
        <v>2</v>
      </c>
      <c r="AM902" t="n">
        <v>2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HYPERLINK("http://catalog.hathitrust.org/Record/000667609","HathiTrust Record")</f>
        <v/>
      </c>
      <c r="AS902">
        <f>HYPERLINK("https://creighton-primo.hosted.exlibrisgroup.com/primo-explore/search?tab=default_tab&amp;search_scope=EVERYTHING&amp;vid=01CRU&amp;lang=en_US&amp;offset=0&amp;query=any,contains,991000760359702656","Catalog Record")</f>
        <v/>
      </c>
      <c r="AT902">
        <f>HYPERLINK("http://www.worldcat.org/oclc/12972827","WorldCat Record")</f>
        <v/>
      </c>
      <c r="AU902" t="inlineStr">
        <is>
          <t>312597550:eng</t>
        </is>
      </c>
      <c r="AV902" t="inlineStr">
        <is>
          <t>12972827</t>
        </is>
      </c>
      <c r="AW902" t="inlineStr">
        <is>
          <t>991000760359702656</t>
        </is>
      </c>
      <c r="AX902" t="inlineStr">
        <is>
          <t>991000760359702656</t>
        </is>
      </c>
      <c r="AY902" t="inlineStr">
        <is>
          <t>2263642960002656</t>
        </is>
      </c>
      <c r="AZ902" t="inlineStr">
        <is>
          <t>BOOK</t>
        </is>
      </c>
      <c r="BB902" t="inlineStr">
        <is>
          <t>9780422787901</t>
        </is>
      </c>
      <c r="BC902" t="inlineStr">
        <is>
          <t>32285000895101</t>
        </is>
      </c>
      <c r="BD902" t="inlineStr">
        <is>
          <t>893614479</t>
        </is>
      </c>
    </row>
    <row r="903">
      <c r="A903" t="inlineStr">
        <is>
          <t>No</t>
        </is>
      </c>
      <c r="B903" t="inlineStr">
        <is>
          <t>BF692.2 .S45</t>
        </is>
      </c>
      <c r="C903" t="inlineStr">
        <is>
          <t>0                      BF 0692200S  45</t>
        </is>
      </c>
      <c r="D903" t="inlineStr">
        <is>
          <t>Sex differences : mental and temperamental / John P. Seward, Georgene H. Seward.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Seward, John P., 1905-1985.</t>
        </is>
      </c>
      <c r="L903" t="inlineStr">
        <is>
          <t>Lexington, Mass. : Lexington Books, c1980.</t>
        </is>
      </c>
      <c r="M903" t="inlineStr">
        <is>
          <t>1980</t>
        </is>
      </c>
      <c r="O903" t="inlineStr">
        <is>
          <t>eng</t>
        </is>
      </c>
      <c r="P903" t="inlineStr">
        <is>
          <t>mau</t>
        </is>
      </c>
      <c r="R903" t="inlineStr">
        <is>
          <t xml:space="preserve">BF </t>
        </is>
      </c>
      <c r="S903" t="n">
        <v>3</v>
      </c>
      <c r="T903" t="n">
        <v>3</v>
      </c>
      <c r="U903" t="inlineStr">
        <is>
          <t>2002-11-05</t>
        </is>
      </c>
      <c r="V903" t="inlineStr">
        <is>
          <t>2002-11-05</t>
        </is>
      </c>
      <c r="W903" t="inlineStr">
        <is>
          <t>1992-03-24</t>
        </is>
      </c>
      <c r="X903" t="inlineStr">
        <is>
          <t>1992-03-24</t>
        </is>
      </c>
      <c r="Y903" t="n">
        <v>461</v>
      </c>
      <c r="Z903" t="n">
        <v>378</v>
      </c>
      <c r="AA903" t="n">
        <v>384</v>
      </c>
      <c r="AB903" t="n">
        <v>4</v>
      </c>
      <c r="AC903" t="n">
        <v>4</v>
      </c>
      <c r="AD903" t="n">
        <v>16</v>
      </c>
      <c r="AE903" t="n">
        <v>16</v>
      </c>
      <c r="AF903" t="n">
        <v>5</v>
      </c>
      <c r="AG903" t="n">
        <v>5</v>
      </c>
      <c r="AH903" t="n">
        <v>3</v>
      </c>
      <c r="AI903" t="n">
        <v>3</v>
      </c>
      <c r="AJ903" t="n">
        <v>8</v>
      </c>
      <c r="AK903" t="n">
        <v>8</v>
      </c>
      <c r="AL903" t="n">
        <v>3</v>
      </c>
      <c r="AM903" t="n">
        <v>3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HYPERLINK("http://catalog.hathitrust.org/Record/000738630","HathiTrust Record")</f>
        <v/>
      </c>
      <c r="AS903">
        <f>HYPERLINK("https://creighton-primo.hosted.exlibrisgroup.com/primo-explore/search?tab=default_tab&amp;search_scope=EVERYTHING&amp;vid=01CRU&amp;lang=en_US&amp;offset=0&amp;query=any,contains,991004935219702656","Catalog Record")</f>
        <v/>
      </c>
      <c r="AT903">
        <f>HYPERLINK("http://www.worldcat.org/oclc/6142555","WorldCat Record")</f>
        <v/>
      </c>
      <c r="AU903" t="inlineStr">
        <is>
          <t>12711899:eng</t>
        </is>
      </c>
      <c r="AV903" t="inlineStr">
        <is>
          <t>6142555</t>
        </is>
      </c>
      <c r="AW903" t="inlineStr">
        <is>
          <t>991004935219702656</t>
        </is>
      </c>
      <c r="AX903" t="inlineStr">
        <is>
          <t>991004935219702656</t>
        </is>
      </c>
      <c r="AY903" t="inlineStr">
        <is>
          <t>2261558770002656</t>
        </is>
      </c>
      <c r="AZ903" t="inlineStr">
        <is>
          <t>BOOK</t>
        </is>
      </c>
      <c r="BB903" t="inlineStr">
        <is>
          <t>9780669036299</t>
        </is>
      </c>
      <c r="BC903" t="inlineStr">
        <is>
          <t>32285001014942</t>
        </is>
      </c>
      <c r="BD903" t="inlineStr">
        <is>
          <t>893883128</t>
        </is>
      </c>
    </row>
    <row r="904">
      <c r="A904" t="inlineStr">
        <is>
          <t>No</t>
        </is>
      </c>
      <c r="B904" t="inlineStr">
        <is>
          <t>BF692.2 .S48</t>
        </is>
      </c>
      <c r="C904" t="inlineStr">
        <is>
          <t>0                      BF 0692200S  48</t>
        </is>
      </c>
      <c r="D904" t="inlineStr">
        <is>
          <t>Sex differences : cultural and developmental dimensions / Patrick C. Lee and Robert Sussman Stewart, editors.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L904" t="inlineStr">
        <is>
          <t>New York : Urizen Books, c1976.</t>
        </is>
      </c>
      <c r="M904" t="inlineStr">
        <is>
          <t>1976</t>
        </is>
      </c>
      <c r="O904" t="inlineStr">
        <is>
          <t>eng</t>
        </is>
      </c>
      <c r="P904" t="inlineStr">
        <is>
          <t>nyu</t>
        </is>
      </c>
      <c r="R904" t="inlineStr">
        <is>
          <t xml:space="preserve">BF </t>
        </is>
      </c>
      <c r="S904" t="n">
        <v>1</v>
      </c>
      <c r="T904" t="n">
        <v>1</v>
      </c>
      <c r="U904" t="inlineStr">
        <is>
          <t>2003-09-29</t>
        </is>
      </c>
      <c r="V904" t="inlineStr">
        <is>
          <t>2003-09-29</t>
        </is>
      </c>
      <c r="W904" t="inlineStr">
        <is>
          <t>1992-03-26</t>
        </is>
      </c>
      <c r="X904" t="inlineStr">
        <is>
          <t>1992-03-26</t>
        </is>
      </c>
      <c r="Y904" t="n">
        <v>502</v>
      </c>
      <c r="Z904" t="n">
        <v>420</v>
      </c>
      <c r="AA904" t="n">
        <v>453</v>
      </c>
      <c r="AB904" t="n">
        <v>3</v>
      </c>
      <c r="AC904" t="n">
        <v>3</v>
      </c>
      <c r="AD904" t="n">
        <v>23</v>
      </c>
      <c r="AE904" t="n">
        <v>25</v>
      </c>
      <c r="AF904" t="n">
        <v>10</v>
      </c>
      <c r="AG904" t="n">
        <v>12</v>
      </c>
      <c r="AH904" t="n">
        <v>5</v>
      </c>
      <c r="AI904" t="n">
        <v>5</v>
      </c>
      <c r="AJ904" t="n">
        <v>14</v>
      </c>
      <c r="AK904" t="n">
        <v>15</v>
      </c>
      <c r="AL904" t="n">
        <v>3</v>
      </c>
      <c r="AM904" t="n">
        <v>3</v>
      </c>
      <c r="AN904" t="n">
        <v>0</v>
      </c>
      <c r="AO904" t="n">
        <v>0</v>
      </c>
      <c r="AP904" t="inlineStr">
        <is>
          <t>No</t>
        </is>
      </c>
      <c r="AQ904" t="inlineStr">
        <is>
          <t>Yes</t>
        </is>
      </c>
      <c r="AR904">
        <f>HYPERLINK("http://catalog.hathitrust.org/Record/000732730","HathiTrust Record")</f>
        <v/>
      </c>
      <c r="AS904">
        <f>HYPERLINK("https://creighton-primo.hosted.exlibrisgroup.com/primo-explore/search?tab=default_tab&amp;search_scope=EVERYTHING&amp;vid=01CRU&amp;lang=en_US&amp;offset=0&amp;query=any,contains,991004158779702656","Catalog Record")</f>
        <v/>
      </c>
      <c r="AT904">
        <f>HYPERLINK("http://www.worldcat.org/oclc/2542955","WorldCat Record")</f>
        <v/>
      </c>
      <c r="AU904" t="inlineStr">
        <is>
          <t>890621312:eng</t>
        </is>
      </c>
      <c r="AV904" t="inlineStr">
        <is>
          <t>2542955</t>
        </is>
      </c>
      <c r="AW904" t="inlineStr">
        <is>
          <t>991004158779702656</t>
        </is>
      </c>
      <c r="AX904" t="inlineStr">
        <is>
          <t>991004158779702656</t>
        </is>
      </c>
      <c r="AY904" t="inlineStr">
        <is>
          <t>2272187650002656</t>
        </is>
      </c>
      <c r="AZ904" t="inlineStr">
        <is>
          <t>BOOK</t>
        </is>
      </c>
      <c r="BB904" t="inlineStr">
        <is>
          <t>9780916354220</t>
        </is>
      </c>
      <c r="BC904" t="inlineStr">
        <is>
          <t>32285004801550</t>
        </is>
      </c>
      <c r="BD904" t="inlineStr">
        <is>
          <t>893259400</t>
        </is>
      </c>
    </row>
    <row r="905">
      <c r="A905" t="inlineStr">
        <is>
          <t>No</t>
        </is>
      </c>
      <c r="B905" t="inlineStr">
        <is>
          <t>BF692.2 .Z65 1981</t>
        </is>
      </c>
      <c r="C905" t="inlineStr">
        <is>
          <t>0                      BF 0692200Z  65          1981</t>
        </is>
      </c>
      <c r="D905" t="inlineStr">
        <is>
          <t>The androgyne, reconciliation of male and female / Elémire Zolla.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K905" t="inlineStr">
        <is>
          <t>Zolla, Elémire.</t>
        </is>
      </c>
      <c r="L905" t="inlineStr">
        <is>
          <t>New York : Crossroad, c1981.</t>
        </is>
      </c>
      <c r="M905" t="inlineStr">
        <is>
          <t>1981</t>
        </is>
      </c>
      <c r="O905" t="inlineStr">
        <is>
          <t>eng</t>
        </is>
      </c>
      <c r="P905" t="inlineStr">
        <is>
          <t>nyu</t>
        </is>
      </c>
      <c r="Q905" t="inlineStr">
        <is>
          <t>The illustrated library of sacred imagination</t>
        </is>
      </c>
      <c r="R905" t="inlineStr">
        <is>
          <t xml:space="preserve">BF </t>
        </is>
      </c>
      <c r="S905" t="n">
        <v>5</v>
      </c>
      <c r="T905" t="n">
        <v>5</v>
      </c>
      <c r="U905" t="inlineStr">
        <is>
          <t>1999-12-06</t>
        </is>
      </c>
      <c r="V905" t="inlineStr">
        <is>
          <t>1999-12-06</t>
        </is>
      </c>
      <c r="W905" t="inlineStr">
        <is>
          <t>1992-03-13</t>
        </is>
      </c>
      <c r="X905" t="inlineStr">
        <is>
          <t>1992-03-13</t>
        </is>
      </c>
      <c r="Y905" t="n">
        <v>340</v>
      </c>
      <c r="Z905" t="n">
        <v>315</v>
      </c>
      <c r="AA905" t="n">
        <v>316</v>
      </c>
      <c r="AB905" t="n">
        <v>2</v>
      </c>
      <c r="AC905" t="n">
        <v>2</v>
      </c>
      <c r="AD905" t="n">
        <v>12</v>
      </c>
      <c r="AE905" t="n">
        <v>12</v>
      </c>
      <c r="AF905" t="n">
        <v>4</v>
      </c>
      <c r="AG905" t="n">
        <v>4</v>
      </c>
      <c r="AH905" t="n">
        <v>2</v>
      </c>
      <c r="AI905" t="n">
        <v>2</v>
      </c>
      <c r="AJ905" t="n">
        <v>8</v>
      </c>
      <c r="AK905" t="n">
        <v>8</v>
      </c>
      <c r="AL905" t="n">
        <v>1</v>
      </c>
      <c r="AM905" t="n">
        <v>1</v>
      </c>
      <c r="AN905" t="n">
        <v>0</v>
      </c>
      <c r="AO905" t="n">
        <v>0</v>
      </c>
      <c r="AP905" t="inlineStr">
        <is>
          <t>No</t>
        </is>
      </c>
      <c r="AQ905" t="inlineStr">
        <is>
          <t>Yes</t>
        </is>
      </c>
      <c r="AR905">
        <f>HYPERLINK("http://catalog.hathitrust.org/Record/003517136","HathiTrust Record")</f>
        <v/>
      </c>
      <c r="AS905">
        <f>HYPERLINK("https://creighton-primo.hosted.exlibrisgroup.com/primo-explore/search?tab=default_tab&amp;search_scope=EVERYTHING&amp;vid=01CRU&amp;lang=en_US&amp;offset=0&amp;query=any,contains,991005221509702656","Catalog Record")</f>
        <v/>
      </c>
      <c r="AT905">
        <f>HYPERLINK("http://www.worldcat.org/oclc/8225666","WorldCat Record")</f>
        <v/>
      </c>
      <c r="AU905" t="inlineStr">
        <is>
          <t>490948:eng</t>
        </is>
      </c>
      <c r="AV905" t="inlineStr">
        <is>
          <t>8225666</t>
        </is>
      </c>
      <c r="AW905" t="inlineStr">
        <is>
          <t>991005221509702656</t>
        </is>
      </c>
      <c r="AX905" t="inlineStr">
        <is>
          <t>991005221509702656</t>
        </is>
      </c>
      <c r="AY905" t="inlineStr">
        <is>
          <t>2270554230002656</t>
        </is>
      </c>
      <c r="AZ905" t="inlineStr">
        <is>
          <t>BOOK</t>
        </is>
      </c>
      <c r="BB905" t="inlineStr">
        <is>
          <t>9780082450061</t>
        </is>
      </c>
      <c r="BC905" t="inlineStr">
        <is>
          <t>32285001000008</t>
        </is>
      </c>
      <c r="BD905" t="inlineStr">
        <is>
          <t>893514253</t>
        </is>
      </c>
    </row>
    <row r="906">
      <c r="A906" t="inlineStr">
        <is>
          <t>No</t>
        </is>
      </c>
      <c r="B906" t="inlineStr">
        <is>
          <t>BF697 .B685 1973b</t>
        </is>
      </c>
      <c r="C906" t="inlineStr">
        <is>
          <t>0                      BF 0697000B  685         1973b</t>
        </is>
      </c>
      <c r="D906" t="inlineStr">
        <is>
          <t>The disowned self.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K906" t="inlineStr">
        <is>
          <t>Branden, Nathaniel.</t>
        </is>
      </c>
      <c r="L906" t="inlineStr">
        <is>
          <t>New York : Bantam Books, [1973]</t>
        </is>
      </c>
      <c r="M906" t="inlineStr">
        <is>
          <t>1973</t>
        </is>
      </c>
      <c r="O906" t="inlineStr">
        <is>
          <t>eng</t>
        </is>
      </c>
      <c r="P906" t="inlineStr">
        <is>
          <t xml:space="preserve">xx </t>
        </is>
      </c>
      <c r="R906" t="inlineStr">
        <is>
          <t xml:space="preserve">BF </t>
        </is>
      </c>
      <c r="S906" t="n">
        <v>2</v>
      </c>
      <c r="T906" t="n">
        <v>2</v>
      </c>
      <c r="U906" t="inlineStr">
        <is>
          <t>2006-05-05</t>
        </is>
      </c>
      <c r="V906" t="inlineStr">
        <is>
          <t>2006-05-05</t>
        </is>
      </c>
      <c r="W906" t="inlineStr">
        <is>
          <t>1992-01-30</t>
        </is>
      </c>
      <c r="X906" t="inlineStr">
        <is>
          <t>1992-01-30</t>
        </is>
      </c>
      <c r="Y906" t="n">
        <v>65</v>
      </c>
      <c r="Z906" t="n">
        <v>60</v>
      </c>
      <c r="AA906" t="n">
        <v>455</v>
      </c>
      <c r="AB906" t="n">
        <v>2</v>
      </c>
      <c r="AC906" t="n">
        <v>3</v>
      </c>
      <c r="AD906" t="n">
        <v>2</v>
      </c>
      <c r="AE906" t="n">
        <v>12</v>
      </c>
      <c r="AF906" t="n">
        <v>1</v>
      </c>
      <c r="AG906" t="n">
        <v>5</v>
      </c>
      <c r="AH906" t="n">
        <v>0</v>
      </c>
      <c r="AI906" t="n">
        <v>2</v>
      </c>
      <c r="AJ906" t="n">
        <v>0</v>
      </c>
      <c r="AK906" t="n">
        <v>5</v>
      </c>
      <c r="AL906" t="n">
        <v>1</v>
      </c>
      <c r="AM906" t="n">
        <v>1</v>
      </c>
      <c r="AN906" t="n">
        <v>0</v>
      </c>
      <c r="AO906" t="n">
        <v>0</v>
      </c>
      <c r="AP906" t="inlineStr">
        <is>
          <t>No</t>
        </is>
      </c>
      <c r="AQ906" t="inlineStr">
        <is>
          <t>No</t>
        </is>
      </c>
      <c r="AS906">
        <f>HYPERLINK("https://creighton-primo.hosted.exlibrisgroup.com/primo-explore/search?tab=default_tab&amp;search_scope=EVERYTHING&amp;vid=01CRU&amp;lang=en_US&amp;offset=0&amp;query=any,contains,991003729209702656","Catalog Record")</f>
        <v/>
      </c>
      <c r="AT906">
        <f>HYPERLINK("http://www.worldcat.org/oclc/1379624","WorldCat Record")</f>
        <v/>
      </c>
      <c r="AU906" t="inlineStr">
        <is>
          <t>1327212:eng</t>
        </is>
      </c>
      <c r="AV906" t="inlineStr">
        <is>
          <t>1379624</t>
        </is>
      </c>
      <c r="AW906" t="inlineStr">
        <is>
          <t>991003729209702656</t>
        </is>
      </c>
      <c r="AX906" t="inlineStr">
        <is>
          <t>991003729209702656</t>
        </is>
      </c>
      <c r="AY906" t="inlineStr">
        <is>
          <t>2256621630002656</t>
        </is>
      </c>
      <c r="AZ906" t="inlineStr">
        <is>
          <t>BOOK</t>
        </is>
      </c>
      <c r="BC906" t="inlineStr">
        <is>
          <t>32285000931260</t>
        </is>
      </c>
      <c r="BD906" t="inlineStr">
        <is>
          <t>893258777</t>
        </is>
      </c>
    </row>
    <row r="907">
      <c r="A907" t="inlineStr">
        <is>
          <t>No</t>
        </is>
      </c>
      <c r="B907" t="inlineStr">
        <is>
          <t>BF697 .B7</t>
        </is>
      </c>
      <c r="C907" t="inlineStr">
        <is>
          <t>0                      BF 0697000B  7</t>
        </is>
      </c>
      <c r="D907" t="inlineStr">
        <is>
          <t>The psychology of self-esteem : a new concept of man's psychological nature.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K907" t="inlineStr">
        <is>
          <t>Branden, Nathaniel.</t>
        </is>
      </c>
      <c r="L907" t="inlineStr">
        <is>
          <t>Los Angeles : Nash Pub. Corp., 1969.</t>
        </is>
      </c>
      <c r="M907" t="inlineStr">
        <is>
          <t>1969</t>
        </is>
      </c>
      <c r="O907" t="inlineStr">
        <is>
          <t>eng</t>
        </is>
      </c>
      <c r="P907" t="inlineStr">
        <is>
          <t>cau</t>
        </is>
      </c>
      <c r="R907" t="inlineStr">
        <is>
          <t xml:space="preserve">BF </t>
        </is>
      </c>
      <c r="S907" t="n">
        <v>10</v>
      </c>
      <c r="T907" t="n">
        <v>10</v>
      </c>
      <c r="U907" t="inlineStr">
        <is>
          <t>2005-03-21</t>
        </is>
      </c>
      <c r="V907" t="inlineStr">
        <is>
          <t>2005-03-21</t>
        </is>
      </c>
      <c r="W907" t="inlineStr">
        <is>
          <t>1991-08-13</t>
        </is>
      </c>
      <c r="X907" t="inlineStr">
        <is>
          <t>1991-08-13</t>
        </is>
      </c>
      <c r="Y907" t="n">
        <v>574</v>
      </c>
      <c r="Z907" t="n">
        <v>518</v>
      </c>
      <c r="AA907" t="n">
        <v>768</v>
      </c>
      <c r="AB907" t="n">
        <v>5</v>
      </c>
      <c r="AC907" t="n">
        <v>8</v>
      </c>
      <c r="AD907" t="n">
        <v>23</v>
      </c>
      <c r="AE907" t="n">
        <v>32</v>
      </c>
      <c r="AF907" t="n">
        <v>13</v>
      </c>
      <c r="AG907" t="n">
        <v>16</v>
      </c>
      <c r="AH907" t="n">
        <v>4</v>
      </c>
      <c r="AI907" t="n">
        <v>6</v>
      </c>
      <c r="AJ907" t="n">
        <v>9</v>
      </c>
      <c r="AK907" t="n">
        <v>15</v>
      </c>
      <c r="AL907" t="n">
        <v>3</v>
      </c>
      <c r="AM907" t="n">
        <v>3</v>
      </c>
      <c r="AN907" t="n">
        <v>0</v>
      </c>
      <c r="AO907" t="n">
        <v>0</v>
      </c>
      <c r="AP907" t="inlineStr">
        <is>
          <t>No</t>
        </is>
      </c>
      <c r="AQ907" t="inlineStr">
        <is>
          <t>Yes</t>
        </is>
      </c>
      <c r="AR907">
        <f>HYPERLINK("http://catalog.hathitrust.org/Record/000425762","HathiTrust Record")</f>
        <v/>
      </c>
      <c r="AS907">
        <f>HYPERLINK("https://creighton-primo.hosted.exlibrisgroup.com/primo-explore/search?tab=default_tab&amp;search_scope=EVERYTHING&amp;vid=01CRU&amp;lang=en_US&amp;offset=0&amp;query=any,contains,991000061739702656","Catalog Record")</f>
        <v/>
      </c>
      <c r="AT907">
        <f>HYPERLINK("http://www.worldcat.org/oclc/24729","WorldCat Record")</f>
        <v/>
      </c>
      <c r="AU907" t="inlineStr">
        <is>
          <t>1146971:eng</t>
        </is>
      </c>
      <c r="AV907" t="inlineStr">
        <is>
          <t>24729</t>
        </is>
      </c>
      <c r="AW907" t="inlineStr">
        <is>
          <t>991000061739702656</t>
        </is>
      </c>
      <c r="AX907" t="inlineStr">
        <is>
          <t>991000061739702656</t>
        </is>
      </c>
      <c r="AY907" t="inlineStr">
        <is>
          <t>2266858250002656</t>
        </is>
      </c>
      <c r="AZ907" t="inlineStr">
        <is>
          <t>BOOK</t>
        </is>
      </c>
      <c r="BB907" t="inlineStr">
        <is>
          <t>9780840211095</t>
        </is>
      </c>
      <c r="BC907" t="inlineStr">
        <is>
          <t>32285000683093</t>
        </is>
      </c>
      <c r="BD907" t="inlineStr">
        <is>
          <t>893242943</t>
        </is>
      </c>
    </row>
    <row r="908">
      <c r="A908" t="inlineStr">
        <is>
          <t>No</t>
        </is>
      </c>
      <c r="B908" t="inlineStr">
        <is>
          <t>BF697 .C86 1985</t>
        </is>
      </c>
      <c r="C908" t="inlineStr">
        <is>
          <t>0                      BF 0697000C  86          1985</t>
        </is>
      </c>
      <c r="D908" t="inlineStr">
        <is>
          <t>Culture and self : Asian and Western perspectives / edited by Anthony J. Marsella, George DeVos, and Francis L.K. Hsu.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L908" t="inlineStr">
        <is>
          <t>New York : Tavistock Publications, 1985.</t>
        </is>
      </c>
      <c r="M908" t="inlineStr">
        <is>
          <t>1985</t>
        </is>
      </c>
      <c r="O908" t="inlineStr">
        <is>
          <t>eng</t>
        </is>
      </c>
      <c r="P908" t="inlineStr">
        <is>
          <t>nyu</t>
        </is>
      </c>
      <c r="Q908" t="inlineStr">
        <is>
          <t>Social science paperbacks ; 280</t>
        </is>
      </c>
      <c r="R908" t="inlineStr">
        <is>
          <t xml:space="preserve">BF </t>
        </is>
      </c>
      <c r="S908" t="n">
        <v>15</v>
      </c>
      <c r="T908" t="n">
        <v>15</v>
      </c>
      <c r="U908" t="inlineStr">
        <is>
          <t>2008-02-28</t>
        </is>
      </c>
      <c r="V908" t="inlineStr">
        <is>
          <t>2008-02-28</t>
        </is>
      </c>
      <c r="W908" t="inlineStr">
        <is>
          <t>1992-04-22</t>
        </is>
      </c>
      <c r="X908" t="inlineStr">
        <is>
          <t>1992-04-22</t>
        </is>
      </c>
      <c r="Y908" t="n">
        <v>644</v>
      </c>
      <c r="Z908" t="n">
        <v>453</v>
      </c>
      <c r="AA908" t="n">
        <v>456</v>
      </c>
      <c r="AB908" t="n">
        <v>4</v>
      </c>
      <c r="AC908" t="n">
        <v>4</v>
      </c>
      <c r="AD908" t="n">
        <v>25</v>
      </c>
      <c r="AE908" t="n">
        <v>25</v>
      </c>
      <c r="AF908" t="n">
        <v>11</v>
      </c>
      <c r="AG908" t="n">
        <v>11</v>
      </c>
      <c r="AH908" t="n">
        <v>5</v>
      </c>
      <c r="AI908" t="n">
        <v>5</v>
      </c>
      <c r="AJ908" t="n">
        <v>14</v>
      </c>
      <c r="AK908" t="n">
        <v>14</v>
      </c>
      <c r="AL908" t="n">
        <v>3</v>
      </c>
      <c r="AM908" t="n">
        <v>3</v>
      </c>
      <c r="AN908" t="n">
        <v>0</v>
      </c>
      <c r="AO908" t="n">
        <v>0</v>
      </c>
      <c r="AP908" t="inlineStr">
        <is>
          <t>No</t>
        </is>
      </c>
      <c r="AQ908" t="inlineStr">
        <is>
          <t>Yes</t>
        </is>
      </c>
      <c r="AR908">
        <f>HYPERLINK("http://catalog.hathitrust.org/Record/000423795","HathiTrust Record")</f>
        <v/>
      </c>
      <c r="AS908">
        <f>HYPERLINK("https://creighton-primo.hosted.exlibrisgroup.com/primo-explore/search?tab=default_tab&amp;search_scope=EVERYTHING&amp;vid=01CRU&amp;lang=en_US&amp;offset=0&amp;query=any,contains,991000568549702656","Catalog Record")</f>
        <v/>
      </c>
      <c r="AT908">
        <f>HYPERLINK("http://www.worldcat.org/oclc/11624089","WorldCat Record")</f>
        <v/>
      </c>
      <c r="AU908" t="inlineStr">
        <is>
          <t>793564368:eng</t>
        </is>
      </c>
      <c r="AV908" t="inlineStr">
        <is>
          <t>11624089</t>
        </is>
      </c>
      <c r="AW908" t="inlineStr">
        <is>
          <t>991000568549702656</t>
        </is>
      </c>
      <c r="AX908" t="inlineStr">
        <is>
          <t>991000568549702656</t>
        </is>
      </c>
      <c r="AY908" t="inlineStr">
        <is>
          <t>2264199690002656</t>
        </is>
      </c>
      <c r="AZ908" t="inlineStr">
        <is>
          <t>BOOK</t>
        </is>
      </c>
      <c r="BB908" t="inlineStr">
        <is>
          <t>9780422791403</t>
        </is>
      </c>
      <c r="BC908" t="inlineStr">
        <is>
          <t>32285001085819</t>
        </is>
      </c>
      <c r="BD908" t="inlineStr">
        <is>
          <t>893237421</t>
        </is>
      </c>
    </row>
    <row r="909">
      <c r="A909" t="inlineStr">
        <is>
          <t>No</t>
        </is>
      </c>
      <c r="B909" t="inlineStr">
        <is>
          <t>BF697 .F484</t>
        </is>
      </c>
      <c r="C909" t="inlineStr">
        <is>
          <t>0                      BF 0697000F  484</t>
        </is>
      </c>
      <c r="D909" t="inlineStr">
        <is>
          <t>Body consciousness; you are what you feel.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Fisher, Seymour.</t>
        </is>
      </c>
      <c r="L909" t="inlineStr">
        <is>
          <t>Englewood Cliffs, N.J., Prentice-Hall [1973]</t>
        </is>
      </c>
      <c r="M909" t="inlineStr">
        <is>
          <t>1973</t>
        </is>
      </c>
      <c r="O909" t="inlineStr">
        <is>
          <t>eng</t>
        </is>
      </c>
      <c r="P909" t="inlineStr">
        <is>
          <t>nju</t>
        </is>
      </c>
      <c r="Q909" t="inlineStr">
        <is>
          <t>A Spectrum book</t>
        </is>
      </c>
      <c r="R909" t="inlineStr">
        <is>
          <t xml:space="preserve">BF </t>
        </is>
      </c>
      <c r="S909" t="n">
        <v>5</v>
      </c>
      <c r="T909" t="n">
        <v>5</v>
      </c>
      <c r="U909" t="inlineStr">
        <is>
          <t>2002-10-07</t>
        </is>
      </c>
      <c r="V909" t="inlineStr">
        <is>
          <t>2002-10-07</t>
        </is>
      </c>
      <c r="W909" t="inlineStr">
        <is>
          <t>1996-08-02</t>
        </is>
      </c>
      <c r="X909" t="inlineStr">
        <is>
          <t>1996-08-02</t>
        </is>
      </c>
      <c r="Y909" t="n">
        <v>571</v>
      </c>
      <c r="Z909" t="n">
        <v>517</v>
      </c>
      <c r="AA909" t="n">
        <v>644</v>
      </c>
      <c r="AB909" t="n">
        <v>3</v>
      </c>
      <c r="AC909" t="n">
        <v>3</v>
      </c>
      <c r="AD909" t="n">
        <v>21</v>
      </c>
      <c r="AE909" t="n">
        <v>25</v>
      </c>
      <c r="AF909" t="n">
        <v>7</v>
      </c>
      <c r="AG909" t="n">
        <v>8</v>
      </c>
      <c r="AH909" t="n">
        <v>7</v>
      </c>
      <c r="AI909" t="n">
        <v>8</v>
      </c>
      <c r="AJ909" t="n">
        <v>10</v>
      </c>
      <c r="AK909" t="n">
        <v>13</v>
      </c>
      <c r="AL909" t="n">
        <v>2</v>
      </c>
      <c r="AM909" t="n">
        <v>2</v>
      </c>
      <c r="AN909" t="n">
        <v>0</v>
      </c>
      <c r="AO909" t="n">
        <v>0</v>
      </c>
      <c r="AP909" t="inlineStr">
        <is>
          <t>No</t>
        </is>
      </c>
      <c r="AQ909" t="inlineStr">
        <is>
          <t>Yes</t>
        </is>
      </c>
      <c r="AR909">
        <f>HYPERLINK("http://catalog.hathitrust.org/Record/000387123","HathiTrust Record")</f>
        <v/>
      </c>
      <c r="AS909">
        <f>HYPERLINK("https://creighton-primo.hosted.exlibrisgroup.com/primo-explore/search?tab=default_tab&amp;search_scope=EVERYTHING&amp;vid=01CRU&amp;lang=en_US&amp;offset=0&amp;query=any,contains,991002971249702656","Catalog Record")</f>
        <v/>
      </c>
      <c r="AT909">
        <f>HYPERLINK("http://www.worldcat.org/oclc/549316","WorldCat Record")</f>
        <v/>
      </c>
      <c r="AU909" t="inlineStr">
        <is>
          <t>2287742928:eng</t>
        </is>
      </c>
      <c r="AV909" t="inlineStr">
        <is>
          <t>549316</t>
        </is>
      </c>
      <c r="AW909" t="inlineStr">
        <is>
          <t>991002971249702656</t>
        </is>
      </c>
      <c r="AX909" t="inlineStr">
        <is>
          <t>991002971249702656</t>
        </is>
      </c>
      <c r="AY909" t="inlineStr">
        <is>
          <t>2265742680002656</t>
        </is>
      </c>
      <c r="AZ909" t="inlineStr">
        <is>
          <t>BOOK</t>
        </is>
      </c>
      <c r="BB909" t="inlineStr">
        <is>
          <t>9780130785275</t>
        </is>
      </c>
      <c r="BC909" t="inlineStr">
        <is>
          <t>32285002252889</t>
        </is>
      </c>
      <c r="BD909" t="inlineStr">
        <is>
          <t>893227515</t>
        </is>
      </c>
    </row>
    <row r="910">
      <c r="A910" t="inlineStr">
        <is>
          <t>No</t>
        </is>
      </c>
      <c r="B910" t="inlineStr">
        <is>
          <t>BF697 .G38</t>
        </is>
      </c>
      <c r="C910" t="inlineStr">
        <is>
          <t>0                      BF 0697000G  38</t>
        </is>
      </c>
      <c r="D910" t="inlineStr">
        <is>
          <t>The concept of self / [by] Kenneth J. Gergen.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Gergen, Kenneth J.</t>
        </is>
      </c>
      <c r="L910" t="inlineStr">
        <is>
          <t>New York : Holt, Rinehart and Winston, [1971]</t>
        </is>
      </c>
      <c r="M910" t="inlineStr">
        <is>
          <t>1971</t>
        </is>
      </c>
      <c r="O910" t="inlineStr">
        <is>
          <t>eng</t>
        </is>
      </c>
      <c r="P910" t="inlineStr">
        <is>
          <t>nyu</t>
        </is>
      </c>
      <c r="Q910" t="inlineStr">
        <is>
          <t>The Person in psychology</t>
        </is>
      </c>
      <c r="R910" t="inlineStr">
        <is>
          <t xml:space="preserve">BF </t>
        </is>
      </c>
      <c r="S910" t="n">
        <v>5</v>
      </c>
      <c r="T910" t="n">
        <v>5</v>
      </c>
      <c r="U910" t="inlineStr">
        <is>
          <t>2000-02-23</t>
        </is>
      </c>
      <c r="V910" t="inlineStr">
        <is>
          <t>2000-02-23</t>
        </is>
      </c>
      <c r="W910" t="inlineStr">
        <is>
          <t>1991-12-11</t>
        </is>
      </c>
      <c r="X910" t="inlineStr">
        <is>
          <t>1991-12-11</t>
        </is>
      </c>
      <c r="Y910" t="n">
        <v>602</v>
      </c>
      <c r="Z910" t="n">
        <v>434</v>
      </c>
      <c r="AA910" t="n">
        <v>441</v>
      </c>
      <c r="AB910" t="n">
        <v>5</v>
      </c>
      <c r="AC910" t="n">
        <v>5</v>
      </c>
      <c r="AD910" t="n">
        <v>26</v>
      </c>
      <c r="AE910" t="n">
        <v>26</v>
      </c>
      <c r="AF910" t="n">
        <v>11</v>
      </c>
      <c r="AG910" t="n">
        <v>11</v>
      </c>
      <c r="AH910" t="n">
        <v>4</v>
      </c>
      <c r="AI910" t="n">
        <v>4</v>
      </c>
      <c r="AJ910" t="n">
        <v>13</v>
      </c>
      <c r="AK910" t="n">
        <v>13</v>
      </c>
      <c r="AL910" t="n">
        <v>4</v>
      </c>
      <c r="AM910" t="n">
        <v>4</v>
      </c>
      <c r="AN910" t="n">
        <v>0</v>
      </c>
      <c r="AO910" t="n">
        <v>0</v>
      </c>
      <c r="AP910" t="inlineStr">
        <is>
          <t>No</t>
        </is>
      </c>
      <c r="AQ910" t="inlineStr">
        <is>
          <t>Yes</t>
        </is>
      </c>
      <c r="AR910">
        <f>HYPERLINK("http://catalog.hathitrust.org/Record/000387143","HathiTrust Record")</f>
        <v/>
      </c>
      <c r="AS910">
        <f>HYPERLINK("https://creighton-primo.hosted.exlibrisgroup.com/primo-explore/search?tab=default_tab&amp;search_scope=EVERYTHING&amp;vid=01CRU&amp;lang=en_US&amp;offset=0&amp;query=any,contains,991000740239702656","Catalog Record")</f>
        <v/>
      </c>
      <c r="AT910">
        <f>HYPERLINK("http://www.worldcat.org/oclc/129159","WorldCat Record")</f>
        <v/>
      </c>
      <c r="AU910" t="inlineStr">
        <is>
          <t>1260222:eng</t>
        </is>
      </c>
      <c r="AV910" t="inlineStr">
        <is>
          <t>129159</t>
        </is>
      </c>
      <c r="AW910" t="inlineStr">
        <is>
          <t>991000740239702656</t>
        </is>
      </c>
      <c r="AX910" t="inlineStr">
        <is>
          <t>991000740239702656</t>
        </is>
      </c>
      <c r="AY910" t="inlineStr">
        <is>
          <t>2266630360002656</t>
        </is>
      </c>
      <c r="AZ910" t="inlineStr">
        <is>
          <t>BOOK</t>
        </is>
      </c>
      <c r="BB910" t="inlineStr">
        <is>
          <t>9780030774157</t>
        </is>
      </c>
      <c r="BC910" t="inlineStr">
        <is>
          <t>32285000876010</t>
        </is>
      </c>
      <c r="BD910" t="inlineStr">
        <is>
          <t>893237574</t>
        </is>
      </c>
    </row>
    <row r="911">
      <c r="A911" t="inlineStr">
        <is>
          <t>No</t>
        </is>
      </c>
      <c r="B911" t="inlineStr">
        <is>
          <t>BF697 .H327 1978</t>
        </is>
      </c>
      <c r="C911" t="inlineStr">
        <is>
          <t>0                      BF 0697000H  327         1978</t>
        </is>
      </c>
      <c r="D911" t="inlineStr">
        <is>
          <t>Encounters with the self / by Don E. Hamachek.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Hamachek, Don E.</t>
        </is>
      </c>
      <c r="L911" t="inlineStr">
        <is>
          <t>New York : Holt, Rinehart and Winston, c1978.</t>
        </is>
      </c>
      <c r="M911" t="inlineStr">
        <is>
          <t>1978</t>
        </is>
      </c>
      <c r="N911" t="inlineStr">
        <is>
          <t>2d ed.</t>
        </is>
      </c>
      <c r="O911" t="inlineStr">
        <is>
          <t>eng</t>
        </is>
      </c>
      <c r="P911" t="inlineStr">
        <is>
          <t>nyu</t>
        </is>
      </c>
      <c r="R911" t="inlineStr">
        <is>
          <t xml:space="preserve">BF </t>
        </is>
      </c>
      <c r="S911" t="n">
        <v>10</v>
      </c>
      <c r="T911" t="n">
        <v>10</v>
      </c>
      <c r="U911" t="inlineStr">
        <is>
          <t>1993-10-17</t>
        </is>
      </c>
      <c r="V911" t="inlineStr">
        <is>
          <t>1993-10-17</t>
        </is>
      </c>
      <c r="W911" t="inlineStr">
        <is>
          <t>1992-02-11</t>
        </is>
      </c>
      <c r="X911" t="inlineStr">
        <is>
          <t>1992-02-11</t>
        </is>
      </c>
      <c r="Y911" t="n">
        <v>345</v>
      </c>
      <c r="Z911" t="n">
        <v>249</v>
      </c>
      <c r="AA911" t="n">
        <v>757</v>
      </c>
      <c r="AB911" t="n">
        <v>4</v>
      </c>
      <c r="AC911" t="n">
        <v>11</v>
      </c>
      <c r="AD911" t="n">
        <v>7</v>
      </c>
      <c r="AE911" t="n">
        <v>38</v>
      </c>
      <c r="AF911" t="n">
        <v>1</v>
      </c>
      <c r="AG911" t="n">
        <v>18</v>
      </c>
      <c r="AH911" t="n">
        <v>0</v>
      </c>
      <c r="AI911" t="n">
        <v>5</v>
      </c>
      <c r="AJ911" t="n">
        <v>6</v>
      </c>
      <c r="AK911" t="n">
        <v>16</v>
      </c>
      <c r="AL911" t="n">
        <v>1</v>
      </c>
      <c r="AM911" t="n">
        <v>6</v>
      </c>
      <c r="AN911" t="n">
        <v>0</v>
      </c>
      <c r="AO911" t="n">
        <v>0</v>
      </c>
      <c r="AP911" t="inlineStr">
        <is>
          <t>No</t>
        </is>
      </c>
      <c r="AQ911" t="inlineStr">
        <is>
          <t>Yes</t>
        </is>
      </c>
      <c r="AR911">
        <f>HYPERLINK("http://catalog.hathitrust.org/Record/009125131","HathiTrust Record")</f>
        <v/>
      </c>
      <c r="AS911">
        <f>HYPERLINK("https://creighton-primo.hosted.exlibrisgroup.com/primo-explore/search?tab=default_tab&amp;search_scope=EVERYTHING&amp;vid=01CRU&amp;lang=en_US&amp;offset=0&amp;query=any,contains,991004475089702656","Catalog Record")</f>
        <v/>
      </c>
      <c r="AT911">
        <f>HYPERLINK("http://www.worldcat.org/oclc/3608854","WorldCat Record")</f>
        <v/>
      </c>
      <c r="AU911" t="inlineStr">
        <is>
          <t>1224880:eng</t>
        </is>
      </c>
      <c r="AV911" t="inlineStr">
        <is>
          <t>3608854</t>
        </is>
      </c>
      <c r="AW911" t="inlineStr">
        <is>
          <t>991004475089702656</t>
        </is>
      </c>
      <c r="AX911" t="inlineStr">
        <is>
          <t>991004475089702656</t>
        </is>
      </c>
      <c r="AY911" t="inlineStr">
        <is>
          <t>2271272480002656</t>
        </is>
      </c>
      <c r="AZ911" t="inlineStr">
        <is>
          <t>BOOK</t>
        </is>
      </c>
      <c r="BB911" t="inlineStr">
        <is>
          <t>9780030198519</t>
        </is>
      </c>
      <c r="BC911" t="inlineStr">
        <is>
          <t>32285000945294</t>
        </is>
      </c>
      <c r="BD911" t="inlineStr">
        <is>
          <t>893353410</t>
        </is>
      </c>
    </row>
    <row r="912">
      <c r="A912" t="inlineStr">
        <is>
          <t>No</t>
        </is>
      </c>
      <c r="B912" t="inlineStr">
        <is>
          <t>BF697 .I34</t>
        </is>
      </c>
      <c r="C912" t="inlineStr">
        <is>
          <t>0                      BF 0697000I  34</t>
        </is>
      </c>
      <c r="D912" t="inlineStr">
        <is>
          <t>The Identities of persons / edited by Amélie Oksenberg Rorty.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L912" t="inlineStr">
        <is>
          <t>Berkeley : University of California Press, 1976.</t>
        </is>
      </c>
      <c r="M912" t="inlineStr">
        <is>
          <t>1976</t>
        </is>
      </c>
      <c r="O912" t="inlineStr">
        <is>
          <t>eng</t>
        </is>
      </c>
      <c r="P912" t="inlineStr">
        <is>
          <t>cau</t>
        </is>
      </c>
      <c r="Q912" t="inlineStr">
        <is>
          <t>Topics in philosophy ; v. 3</t>
        </is>
      </c>
      <c r="R912" t="inlineStr">
        <is>
          <t xml:space="preserve">BF </t>
        </is>
      </c>
      <c r="S912" t="n">
        <v>14</v>
      </c>
      <c r="T912" t="n">
        <v>14</v>
      </c>
      <c r="U912" t="inlineStr">
        <is>
          <t>2005-09-15</t>
        </is>
      </c>
      <c r="V912" t="inlineStr">
        <is>
          <t>2005-09-15</t>
        </is>
      </c>
      <c r="W912" t="inlineStr">
        <is>
          <t>1996-06-04</t>
        </is>
      </c>
      <c r="X912" t="inlineStr">
        <is>
          <t>1996-06-04</t>
        </is>
      </c>
      <c r="Y912" t="n">
        <v>824</v>
      </c>
      <c r="Z912" t="n">
        <v>654</v>
      </c>
      <c r="AA912" t="n">
        <v>657</v>
      </c>
      <c r="AB912" t="n">
        <v>4</v>
      </c>
      <c r="AC912" t="n">
        <v>4</v>
      </c>
      <c r="AD912" t="n">
        <v>36</v>
      </c>
      <c r="AE912" t="n">
        <v>36</v>
      </c>
      <c r="AF912" t="n">
        <v>13</v>
      </c>
      <c r="AG912" t="n">
        <v>13</v>
      </c>
      <c r="AH912" t="n">
        <v>9</v>
      </c>
      <c r="AI912" t="n">
        <v>9</v>
      </c>
      <c r="AJ912" t="n">
        <v>22</v>
      </c>
      <c r="AK912" t="n">
        <v>22</v>
      </c>
      <c r="AL912" t="n">
        <v>3</v>
      </c>
      <c r="AM912" t="n">
        <v>3</v>
      </c>
      <c r="AN912" t="n">
        <v>0</v>
      </c>
      <c r="AO912" t="n">
        <v>0</v>
      </c>
      <c r="AP912" t="inlineStr">
        <is>
          <t>No</t>
        </is>
      </c>
      <c r="AQ912" t="inlineStr">
        <is>
          <t>Yes</t>
        </is>
      </c>
      <c r="AR912">
        <f>HYPERLINK("http://catalog.hathitrust.org/Record/000126744","HathiTrust Record")</f>
        <v/>
      </c>
      <c r="AS912">
        <f>HYPERLINK("https://creighton-primo.hosted.exlibrisgroup.com/primo-explore/search?tab=default_tab&amp;search_scope=EVERYTHING&amp;vid=01CRU&amp;lang=en_US&amp;offset=0&amp;query=any,contains,991004181639702656","Catalog Record")</f>
        <v/>
      </c>
      <c r="AT912">
        <f>HYPERLINK("http://www.worldcat.org/oclc/2606224","WorldCat Record")</f>
        <v/>
      </c>
      <c r="AU912" t="inlineStr">
        <is>
          <t>111004503:eng</t>
        </is>
      </c>
      <c r="AV912" t="inlineStr">
        <is>
          <t>2606224</t>
        </is>
      </c>
      <c r="AW912" t="inlineStr">
        <is>
          <t>991004181639702656</t>
        </is>
      </c>
      <c r="AX912" t="inlineStr">
        <is>
          <t>991004181639702656</t>
        </is>
      </c>
      <c r="AY912" t="inlineStr">
        <is>
          <t>2267014450002656</t>
        </is>
      </c>
      <c r="AZ912" t="inlineStr">
        <is>
          <t>BOOK</t>
        </is>
      </c>
      <c r="BC912" t="inlineStr">
        <is>
          <t>32285002186681</t>
        </is>
      </c>
      <c r="BD912" t="inlineStr">
        <is>
          <t>893788374</t>
        </is>
      </c>
    </row>
    <row r="913">
      <c r="A913" t="inlineStr">
        <is>
          <t>No</t>
        </is>
      </c>
      <c r="B913" t="inlineStr">
        <is>
          <t>BF697 .L6</t>
        </is>
      </c>
      <c r="C913" t="inlineStr">
        <is>
          <t>0                      BF 0697000L  6</t>
        </is>
      </c>
      <c r="D913" t="inlineStr">
        <is>
          <t>The betrayal of the body.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K913" t="inlineStr">
        <is>
          <t>Lowen, Alexander, 1910-2008.</t>
        </is>
      </c>
      <c r="L913" t="inlineStr">
        <is>
          <t>New York : Macmillan, [c1967]</t>
        </is>
      </c>
      <c r="M913" t="inlineStr">
        <is>
          <t>1967</t>
        </is>
      </c>
      <c r="O913" t="inlineStr">
        <is>
          <t>eng</t>
        </is>
      </c>
      <c r="P913" t="inlineStr">
        <is>
          <t>nyu</t>
        </is>
      </c>
      <c r="R913" t="inlineStr">
        <is>
          <t xml:space="preserve">BF </t>
        </is>
      </c>
      <c r="S913" t="n">
        <v>3</v>
      </c>
      <c r="T913" t="n">
        <v>3</v>
      </c>
      <c r="U913" t="inlineStr">
        <is>
          <t>2002-10-22</t>
        </is>
      </c>
      <c r="V913" t="inlineStr">
        <is>
          <t>2002-10-22</t>
        </is>
      </c>
      <c r="W913" t="inlineStr">
        <is>
          <t>1991-12-23</t>
        </is>
      </c>
      <c r="X913" t="inlineStr">
        <is>
          <t>1991-12-23</t>
        </is>
      </c>
      <c r="Y913" t="n">
        <v>484</v>
      </c>
      <c r="Z913" t="n">
        <v>434</v>
      </c>
      <c r="AA913" t="n">
        <v>543</v>
      </c>
      <c r="AB913" t="n">
        <v>5</v>
      </c>
      <c r="AC913" t="n">
        <v>5</v>
      </c>
      <c r="AD913" t="n">
        <v>19</v>
      </c>
      <c r="AE913" t="n">
        <v>23</v>
      </c>
      <c r="AF913" t="n">
        <v>8</v>
      </c>
      <c r="AG913" t="n">
        <v>9</v>
      </c>
      <c r="AH913" t="n">
        <v>2</v>
      </c>
      <c r="AI913" t="n">
        <v>3</v>
      </c>
      <c r="AJ913" t="n">
        <v>9</v>
      </c>
      <c r="AK913" t="n">
        <v>12</v>
      </c>
      <c r="AL913" t="n">
        <v>3</v>
      </c>
      <c r="AM913" t="n">
        <v>3</v>
      </c>
      <c r="AN913" t="n">
        <v>0</v>
      </c>
      <c r="AO913" t="n">
        <v>0</v>
      </c>
      <c r="AP913" t="inlineStr">
        <is>
          <t>No</t>
        </is>
      </c>
      <c r="AQ913" t="inlineStr">
        <is>
          <t>Yes</t>
        </is>
      </c>
      <c r="AR913">
        <f>HYPERLINK("http://catalog.hathitrust.org/Record/000387828","HathiTrust Record")</f>
        <v/>
      </c>
      <c r="AS913">
        <f>HYPERLINK("https://creighton-primo.hosted.exlibrisgroup.com/primo-explore/search?tab=default_tab&amp;search_scope=EVERYTHING&amp;vid=01CRU&amp;lang=en_US&amp;offset=0&amp;query=any,contains,991003092239702656","Catalog Record")</f>
        <v/>
      </c>
      <c r="AT913">
        <f>HYPERLINK("http://www.worldcat.org/oclc/642484","WorldCat Record")</f>
        <v/>
      </c>
      <c r="AU913" t="inlineStr">
        <is>
          <t>398196:eng</t>
        </is>
      </c>
      <c r="AV913" t="inlineStr">
        <is>
          <t>642484</t>
        </is>
      </c>
      <c r="AW913" t="inlineStr">
        <is>
          <t>991003092239702656</t>
        </is>
      </c>
      <c r="AX913" t="inlineStr">
        <is>
          <t>991003092239702656</t>
        </is>
      </c>
      <c r="AY913" t="inlineStr">
        <is>
          <t>2262045340002656</t>
        </is>
      </c>
      <c r="AZ913" t="inlineStr">
        <is>
          <t>BOOK</t>
        </is>
      </c>
      <c r="BC913" t="inlineStr">
        <is>
          <t>32285000879402</t>
        </is>
      </c>
      <c r="BD913" t="inlineStr">
        <is>
          <t>893686186</t>
        </is>
      </c>
    </row>
    <row r="914">
      <c r="A914" t="inlineStr">
        <is>
          <t>No</t>
        </is>
      </c>
      <c r="B914" t="inlineStr">
        <is>
          <t>BF697 .M673</t>
        </is>
      </c>
      <c r="C914" t="inlineStr">
        <is>
          <t>0                      BF 0697000M  673</t>
        </is>
      </c>
      <c r="D914" t="inlineStr">
        <is>
          <t>Finding yourself, finding others / [by] Clark E. Moustakas.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K914" t="inlineStr">
        <is>
          <t>Moustakas, Clark E.</t>
        </is>
      </c>
      <c r="L914" t="inlineStr">
        <is>
          <t>Englewood Cliffs, N.J. : Prentice-Hall, [1974]</t>
        </is>
      </c>
      <c r="M914" t="inlineStr">
        <is>
          <t>1974</t>
        </is>
      </c>
      <c r="O914" t="inlineStr">
        <is>
          <t>eng</t>
        </is>
      </c>
      <c r="P914" t="inlineStr">
        <is>
          <t>nju</t>
        </is>
      </c>
      <c r="Q914" t="inlineStr">
        <is>
          <t>A Spectrum book, S-353</t>
        </is>
      </c>
      <c r="R914" t="inlineStr">
        <is>
          <t xml:space="preserve">BF </t>
        </is>
      </c>
      <c r="S914" t="n">
        <v>7</v>
      </c>
      <c r="T914" t="n">
        <v>7</v>
      </c>
      <c r="U914" t="inlineStr">
        <is>
          <t>2002-11-07</t>
        </is>
      </c>
      <c r="V914" t="inlineStr">
        <is>
          <t>2002-11-07</t>
        </is>
      </c>
      <c r="W914" t="inlineStr">
        <is>
          <t>1991-08-13</t>
        </is>
      </c>
      <c r="X914" t="inlineStr">
        <is>
          <t>1991-08-13</t>
        </is>
      </c>
      <c r="Y914" t="n">
        <v>229</v>
      </c>
      <c r="Z914" t="n">
        <v>186</v>
      </c>
      <c r="AA914" t="n">
        <v>186</v>
      </c>
      <c r="AB914" t="n">
        <v>3</v>
      </c>
      <c r="AC914" t="n">
        <v>3</v>
      </c>
      <c r="AD914" t="n">
        <v>8</v>
      </c>
      <c r="AE914" t="n">
        <v>8</v>
      </c>
      <c r="AF914" t="n">
        <v>2</v>
      </c>
      <c r="AG914" t="n">
        <v>2</v>
      </c>
      <c r="AH914" t="n">
        <v>3</v>
      </c>
      <c r="AI914" t="n">
        <v>3</v>
      </c>
      <c r="AJ914" t="n">
        <v>5</v>
      </c>
      <c r="AK914" t="n">
        <v>5</v>
      </c>
      <c r="AL914" t="n">
        <v>2</v>
      </c>
      <c r="AM914" t="n">
        <v>2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HYPERLINK("https://creighton-primo.hosted.exlibrisgroup.com/primo-explore/search?tab=default_tab&amp;search_scope=EVERYTHING&amp;vid=01CRU&amp;lang=en_US&amp;offset=0&amp;query=any,contains,991003444759702656","Catalog Record")</f>
        <v/>
      </c>
      <c r="AT914">
        <f>HYPERLINK("http://www.worldcat.org/oclc/980257","WorldCat Record")</f>
        <v/>
      </c>
      <c r="AU914" t="inlineStr">
        <is>
          <t>1944501:eng</t>
        </is>
      </c>
      <c r="AV914" t="inlineStr">
        <is>
          <t>980257</t>
        </is>
      </c>
      <c r="AW914" t="inlineStr">
        <is>
          <t>991003444759702656</t>
        </is>
      </c>
      <c r="AX914" t="inlineStr">
        <is>
          <t>991003444759702656</t>
        </is>
      </c>
      <c r="AY914" t="inlineStr">
        <is>
          <t>2271342440002656</t>
        </is>
      </c>
      <c r="AZ914" t="inlineStr">
        <is>
          <t>BOOK</t>
        </is>
      </c>
      <c r="BB914" t="inlineStr">
        <is>
          <t>9780133147087</t>
        </is>
      </c>
      <c r="BC914" t="inlineStr">
        <is>
          <t>32285000683085</t>
        </is>
      </c>
      <c r="BD914" t="inlineStr">
        <is>
          <t>893499293</t>
        </is>
      </c>
    </row>
    <row r="915">
      <c r="A915" t="inlineStr">
        <is>
          <t>No</t>
        </is>
      </c>
      <c r="B915" t="inlineStr">
        <is>
          <t>BF697 .R657 1979</t>
        </is>
      </c>
      <c r="C915" t="inlineStr">
        <is>
          <t>0                      BF 0697000R  657         1979</t>
        </is>
      </c>
      <c r="D915" t="inlineStr">
        <is>
          <t>Conceiving the self / Morris Rosenberg.</t>
        </is>
      </c>
      <c r="F915" t="inlineStr">
        <is>
          <t>No</t>
        </is>
      </c>
      <c r="G915" t="inlineStr">
        <is>
          <t>1</t>
        </is>
      </c>
      <c r="H915" t="inlineStr">
        <is>
          <t>Yes</t>
        </is>
      </c>
      <c r="I915" t="inlineStr">
        <is>
          <t>No</t>
        </is>
      </c>
      <c r="J915" t="inlineStr">
        <is>
          <t>0</t>
        </is>
      </c>
      <c r="K915" t="inlineStr">
        <is>
          <t>Rosenberg, Morris.</t>
        </is>
      </c>
      <c r="L915" t="inlineStr">
        <is>
          <t>New York : Basic Books, c1979.</t>
        </is>
      </c>
      <c r="M915" t="inlineStr">
        <is>
          <t>1979</t>
        </is>
      </c>
      <c r="O915" t="inlineStr">
        <is>
          <t>eng</t>
        </is>
      </c>
      <c r="P915" t="inlineStr">
        <is>
          <t>nyu</t>
        </is>
      </c>
      <c r="R915" t="inlineStr">
        <is>
          <t xml:space="preserve">BF </t>
        </is>
      </c>
      <c r="S915" t="n">
        <v>4</v>
      </c>
      <c r="T915" t="n">
        <v>15</v>
      </c>
      <c r="U915" t="inlineStr">
        <is>
          <t>2000-02-23</t>
        </is>
      </c>
      <c r="V915" t="inlineStr">
        <is>
          <t>2000-02-23</t>
        </is>
      </c>
      <c r="W915" t="inlineStr">
        <is>
          <t>1993-03-17</t>
        </is>
      </c>
      <c r="X915" t="inlineStr">
        <is>
          <t>1993-03-17</t>
        </is>
      </c>
      <c r="Y915" t="n">
        <v>792</v>
      </c>
      <c r="Z915" t="n">
        <v>675</v>
      </c>
      <c r="AA915" t="n">
        <v>787</v>
      </c>
      <c r="AB915" t="n">
        <v>8</v>
      </c>
      <c r="AC915" t="n">
        <v>8</v>
      </c>
      <c r="AD915" t="n">
        <v>30</v>
      </c>
      <c r="AE915" t="n">
        <v>34</v>
      </c>
      <c r="AF915" t="n">
        <v>13</v>
      </c>
      <c r="AG915" t="n">
        <v>16</v>
      </c>
      <c r="AH915" t="n">
        <v>5</v>
      </c>
      <c r="AI915" t="n">
        <v>6</v>
      </c>
      <c r="AJ915" t="n">
        <v>13</v>
      </c>
      <c r="AK915" t="n">
        <v>15</v>
      </c>
      <c r="AL915" t="n">
        <v>4</v>
      </c>
      <c r="AM915" t="n">
        <v>4</v>
      </c>
      <c r="AN915" t="n">
        <v>0</v>
      </c>
      <c r="AO915" t="n">
        <v>0</v>
      </c>
      <c r="AP915" t="inlineStr">
        <is>
          <t>No</t>
        </is>
      </c>
      <c r="AQ915" t="inlineStr">
        <is>
          <t>Yes</t>
        </is>
      </c>
      <c r="AR915">
        <f>HYPERLINK("http://catalog.hathitrust.org/Record/000256270","HathiTrust Record")</f>
        <v/>
      </c>
      <c r="AS915">
        <f>HYPERLINK("https://creighton-primo.hosted.exlibrisgroup.com/primo-explore/search?tab=default_tab&amp;search_scope=EVERYTHING&amp;vid=01CRU&amp;lang=en_US&amp;offset=0&amp;query=any,contains,991001777159702656","Catalog Record")</f>
        <v/>
      </c>
      <c r="AT915">
        <f>HYPERLINK("http://www.worldcat.org/oclc/4495621","WorldCat Record")</f>
        <v/>
      </c>
      <c r="AU915" t="inlineStr">
        <is>
          <t>7953018:eng</t>
        </is>
      </c>
      <c r="AV915" t="inlineStr">
        <is>
          <t>4495621</t>
        </is>
      </c>
      <c r="AW915" t="inlineStr">
        <is>
          <t>991001777159702656</t>
        </is>
      </c>
      <c r="AX915" t="inlineStr">
        <is>
          <t>991001777159702656</t>
        </is>
      </c>
      <c r="AY915" t="inlineStr">
        <is>
          <t>2268100480002656</t>
        </is>
      </c>
      <c r="AZ915" t="inlineStr">
        <is>
          <t>BOOK</t>
        </is>
      </c>
      <c r="BB915" t="inlineStr">
        <is>
          <t>9780465013524</t>
        </is>
      </c>
      <c r="BC915" t="inlineStr">
        <is>
          <t>32285001574358</t>
        </is>
      </c>
      <c r="BD915" t="inlineStr">
        <is>
          <t>893621611</t>
        </is>
      </c>
    </row>
    <row r="916">
      <c r="A916" t="inlineStr">
        <is>
          <t>No</t>
        </is>
      </c>
      <c r="B916" t="inlineStr">
        <is>
          <t>BF697 .S434 1991</t>
        </is>
      </c>
      <c r="C916" t="inlineStr">
        <is>
          <t>0                      BF 0697000S  434         1991</t>
        </is>
      </c>
      <c r="D916" t="inlineStr">
        <is>
          <t>The Self : interdisciplinary approaches / Jaine Strauss, George R. Goethals, editors.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L916" t="inlineStr">
        <is>
          <t>New York : Springer-Verlag, c1991.</t>
        </is>
      </c>
      <c r="M916" t="inlineStr">
        <is>
          <t>1991</t>
        </is>
      </c>
      <c r="O916" t="inlineStr">
        <is>
          <t>eng</t>
        </is>
      </c>
      <c r="P916" t="inlineStr">
        <is>
          <t>nyu</t>
        </is>
      </c>
      <c r="R916" t="inlineStr">
        <is>
          <t xml:space="preserve">BF </t>
        </is>
      </c>
      <c r="S916" t="n">
        <v>3</v>
      </c>
      <c r="T916" t="n">
        <v>3</v>
      </c>
      <c r="U916" t="inlineStr">
        <is>
          <t>2001-06-08</t>
        </is>
      </c>
      <c r="V916" t="inlineStr">
        <is>
          <t>2001-06-08</t>
        </is>
      </c>
      <c r="W916" t="inlineStr">
        <is>
          <t>1997-08-27</t>
        </is>
      </c>
      <c r="X916" t="inlineStr">
        <is>
          <t>1997-08-27</t>
        </is>
      </c>
      <c r="Y916" t="n">
        <v>233</v>
      </c>
      <c r="Z916" t="n">
        <v>143</v>
      </c>
      <c r="AA916" t="n">
        <v>164</v>
      </c>
      <c r="AB916" t="n">
        <v>3</v>
      </c>
      <c r="AC916" t="n">
        <v>3</v>
      </c>
      <c r="AD916" t="n">
        <v>9</v>
      </c>
      <c r="AE916" t="n">
        <v>11</v>
      </c>
      <c r="AF916" t="n">
        <v>1</v>
      </c>
      <c r="AG916" t="n">
        <v>3</v>
      </c>
      <c r="AH916" t="n">
        <v>3</v>
      </c>
      <c r="AI916" t="n">
        <v>3</v>
      </c>
      <c r="AJ916" t="n">
        <v>6</v>
      </c>
      <c r="AK916" t="n">
        <v>7</v>
      </c>
      <c r="AL916" t="n">
        <v>2</v>
      </c>
      <c r="AM916" t="n">
        <v>2</v>
      </c>
      <c r="AN916" t="n">
        <v>0</v>
      </c>
      <c r="AO916" t="n">
        <v>0</v>
      </c>
      <c r="AP916" t="inlineStr">
        <is>
          <t>No</t>
        </is>
      </c>
      <c r="AQ916" t="inlineStr">
        <is>
          <t>No</t>
        </is>
      </c>
      <c r="AS916">
        <f>HYPERLINK("https://creighton-primo.hosted.exlibrisgroup.com/primo-explore/search?tab=default_tab&amp;search_scope=EVERYTHING&amp;vid=01CRU&amp;lang=en_US&amp;offset=0&amp;query=any,contains,991001869069702656","Catalog Record")</f>
        <v/>
      </c>
      <c r="AT916">
        <f>HYPERLINK("http://www.worldcat.org/oclc/23582920","WorldCat Record")</f>
        <v/>
      </c>
      <c r="AU916" t="inlineStr">
        <is>
          <t>890078813:eng</t>
        </is>
      </c>
      <c r="AV916" t="inlineStr">
        <is>
          <t>23582920</t>
        </is>
      </c>
      <c r="AW916" t="inlineStr">
        <is>
          <t>991001869069702656</t>
        </is>
      </c>
      <c r="AX916" t="inlineStr">
        <is>
          <t>991001869069702656</t>
        </is>
      </c>
      <c r="AY916" t="inlineStr">
        <is>
          <t>2256073320002656</t>
        </is>
      </c>
      <c r="AZ916" t="inlineStr">
        <is>
          <t>BOOK</t>
        </is>
      </c>
      <c r="BB916" t="inlineStr">
        <is>
          <t>9780387975368</t>
        </is>
      </c>
      <c r="BC916" t="inlineStr">
        <is>
          <t>32285003001921</t>
        </is>
      </c>
      <c r="BD916" t="inlineStr">
        <is>
          <t>893772977</t>
        </is>
      </c>
    </row>
    <row r="917">
      <c r="A917" t="inlineStr">
        <is>
          <t>No</t>
        </is>
      </c>
      <c r="B917" t="inlineStr">
        <is>
          <t>BF697 .S465 1989</t>
        </is>
      </c>
      <c r="C917" t="inlineStr">
        <is>
          <t>0                      BF 0697000S  465         1989</t>
        </is>
      </c>
      <c r="D917" t="inlineStr">
        <is>
          <t>The body/mind conceptual framework &amp; the problem of personal identity : some theories in philosophy, psychoanalysis &amp; neurology / Albert Shalom.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K917" t="inlineStr">
        <is>
          <t>Shalom, Albert.</t>
        </is>
      </c>
      <c r="L917" t="inlineStr">
        <is>
          <t>Atlantic Highlands, N.J. : Humanities Press International, 1989.</t>
        </is>
      </c>
      <c r="M917" t="inlineStr">
        <is>
          <t>1989</t>
        </is>
      </c>
      <c r="O917" t="inlineStr">
        <is>
          <t>eng</t>
        </is>
      </c>
      <c r="P917" t="inlineStr">
        <is>
          <t>nju</t>
        </is>
      </c>
      <c r="R917" t="inlineStr">
        <is>
          <t xml:space="preserve">BF </t>
        </is>
      </c>
      <c r="S917" t="n">
        <v>3</v>
      </c>
      <c r="T917" t="n">
        <v>3</v>
      </c>
      <c r="U917" t="inlineStr">
        <is>
          <t>1993-11-12</t>
        </is>
      </c>
      <c r="V917" t="inlineStr">
        <is>
          <t>1993-11-12</t>
        </is>
      </c>
      <c r="W917" t="inlineStr">
        <is>
          <t>1992-03-10</t>
        </is>
      </c>
      <c r="X917" t="inlineStr">
        <is>
          <t>1992-03-10</t>
        </is>
      </c>
      <c r="Y917" t="n">
        <v>52</v>
      </c>
      <c r="Z917" t="n">
        <v>39</v>
      </c>
      <c r="AA917" t="n">
        <v>404</v>
      </c>
      <c r="AB917" t="n">
        <v>1</v>
      </c>
      <c r="AC917" t="n">
        <v>4</v>
      </c>
      <c r="AD917" t="n">
        <v>2</v>
      </c>
      <c r="AE917" t="n">
        <v>26</v>
      </c>
      <c r="AF917" t="n">
        <v>1</v>
      </c>
      <c r="AG917" t="n">
        <v>10</v>
      </c>
      <c r="AH917" t="n">
        <v>0</v>
      </c>
      <c r="AI917" t="n">
        <v>7</v>
      </c>
      <c r="AJ917" t="n">
        <v>1</v>
      </c>
      <c r="AK917" t="n">
        <v>16</v>
      </c>
      <c r="AL917" t="n">
        <v>0</v>
      </c>
      <c r="AM917" t="n">
        <v>3</v>
      </c>
      <c r="AN917" t="n">
        <v>0</v>
      </c>
      <c r="AO917" t="n">
        <v>0</v>
      </c>
      <c r="AP917" t="inlineStr">
        <is>
          <t>No</t>
        </is>
      </c>
      <c r="AQ917" t="inlineStr">
        <is>
          <t>Yes</t>
        </is>
      </c>
      <c r="AR917">
        <f>HYPERLINK("http://catalog.hathitrust.org/Record/010662048","HathiTrust Record")</f>
        <v/>
      </c>
      <c r="AS917">
        <f>HYPERLINK("https://creighton-primo.hosted.exlibrisgroup.com/primo-explore/search?tab=default_tab&amp;search_scope=EVERYTHING&amp;vid=01CRU&amp;lang=en_US&amp;offset=0&amp;query=any,contains,991001459239702656","Catalog Record")</f>
        <v/>
      </c>
      <c r="AT917">
        <f>HYPERLINK("http://www.worldcat.org/oclc/19402882","WorldCat Record")</f>
        <v/>
      </c>
      <c r="AU917" t="inlineStr">
        <is>
          <t>3428507:eng</t>
        </is>
      </c>
      <c r="AV917" t="inlineStr">
        <is>
          <t>19402882</t>
        </is>
      </c>
      <c r="AW917" t="inlineStr">
        <is>
          <t>991001459239702656</t>
        </is>
      </c>
      <c r="AX917" t="inlineStr">
        <is>
          <t>991001459239702656</t>
        </is>
      </c>
      <c r="AY917" t="inlineStr">
        <is>
          <t>2257046170002656</t>
        </is>
      </c>
      <c r="AZ917" t="inlineStr">
        <is>
          <t>BOOK</t>
        </is>
      </c>
      <c r="BB917" t="inlineStr">
        <is>
          <t>9780391035768</t>
        </is>
      </c>
      <c r="BC917" t="inlineStr">
        <is>
          <t>32285000996156</t>
        </is>
      </c>
      <c r="BD917" t="inlineStr">
        <is>
          <t>893250257</t>
        </is>
      </c>
    </row>
    <row r="918">
      <c r="A918" t="inlineStr">
        <is>
          <t>No</t>
        </is>
      </c>
      <c r="B918" t="inlineStr">
        <is>
          <t>BF697 .S67 1982</t>
        </is>
      </c>
      <c r="C918" t="inlineStr">
        <is>
          <t>0                      BF 0697000S  67          1982</t>
        </is>
      </c>
      <c r="D918" t="inlineStr">
        <is>
          <t>Social psychology of the self-concept / edited by Morris Rosenberg, Howard B. Kaplan.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L918" t="inlineStr">
        <is>
          <t>Arlington Heights, Ill. : H. Davidson, c1982.</t>
        </is>
      </c>
      <c r="M918" t="inlineStr">
        <is>
          <t>1982</t>
        </is>
      </c>
      <c r="O918" t="inlineStr">
        <is>
          <t>eng</t>
        </is>
      </c>
      <c r="P918" t="inlineStr">
        <is>
          <t>ilu</t>
        </is>
      </c>
      <c r="R918" t="inlineStr">
        <is>
          <t xml:space="preserve">BF </t>
        </is>
      </c>
      <c r="S918" t="n">
        <v>6</v>
      </c>
      <c r="T918" t="n">
        <v>6</v>
      </c>
      <c r="U918" t="inlineStr">
        <is>
          <t>2008-11-09</t>
        </is>
      </c>
      <c r="V918" t="inlineStr">
        <is>
          <t>2008-11-09</t>
        </is>
      </c>
      <c r="W918" t="inlineStr">
        <is>
          <t>1993-04-05</t>
        </is>
      </c>
      <c r="X918" t="inlineStr">
        <is>
          <t>1993-04-05</t>
        </is>
      </c>
      <c r="Y918" t="n">
        <v>257</v>
      </c>
      <c r="Z918" t="n">
        <v>189</v>
      </c>
      <c r="AA918" t="n">
        <v>190</v>
      </c>
      <c r="AB918" t="n">
        <v>4</v>
      </c>
      <c r="AC918" t="n">
        <v>4</v>
      </c>
      <c r="AD918" t="n">
        <v>13</v>
      </c>
      <c r="AE918" t="n">
        <v>13</v>
      </c>
      <c r="AF918" t="n">
        <v>5</v>
      </c>
      <c r="AG918" t="n">
        <v>5</v>
      </c>
      <c r="AH918" t="n">
        <v>2</v>
      </c>
      <c r="AI918" t="n">
        <v>2</v>
      </c>
      <c r="AJ918" t="n">
        <v>7</v>
      </c>
      <c r="AK918" t="n">
        <v>7</v>
      </c>
      <c r="AL918" t="n">
        <v>3</v>
      </c>
      <c r="AM918" t="n">
        <v>3</v>
      </c>
      <c r="AN918" t="n">
        <v>0</v>
      </c>
      <c r="AO918" t="n">
        <v>0</v>
      </c>
      <c r="AP918" t="inlineStr">
        <is>
          <t>No</t>
        </is>
      </c>
      <c r="AQ918" t="inlineStr">
        <is>
          <t>Yes</t>
        </is>
      </c>
      <c r="AR918">
        <f>HYPERLINK("http://catalog.hathitrust.org/Record/004445830","HathiTrust Record")</f>
        <v/>
      </c>
      <c r="AS918">
        <f>HYPERLINK("https://creighton-primo.hosted.exlibrisgroup.com/primo-explore/search?tab=default_tab&amp;search_scope=EVERYTHING&amp;vid=01CRU&amp;lang=en_US&amp;offset=0&amp;query=any,contains,991005237919702656","Catalog Record")</f>
        <v/>
      </c>
      <c r="AT918">
        <f>HYPERLINK("http://www.worldcat.org/oclc/8389424","WorldCat Record")</f>
        <v/>
      </c>
      <c r="AU918" t="inlineStr">
        <is>
          <t>350971555:eng</t>
        </is>
      </c>
      <c r="AV918" t="inlineStr">
        <is>
          <t>8389424</t>
        </is>
      </c>
      <c r="AW918" t="inlineStr">
        <is>
          <t>991005237919702656</t>
        </is>
      </c>
      <c r="AX918" t="inlineStr">
        <is>
          <t>991005237919702656</t>
        </is>
      </c>
      <c r="AY918" t="inlineStr">
        <is>
          <t>2261415030002656</t>
        </is>
      </c>
      <c r="AZ918" t="inlineStr">
        <is>
          <t>BOOK</t>
        </is>
      </c>
      <c r="BB918" t="inlineStr">
        <is>
          <t>9780882952147</t>
        </is>
      </c>
      <c r="BC918" t="inlineStr">
        <is>
          <t>32285001601326</t>
        </is>
      </c>
      <c r="BD918" t="inlineStr">
        <is>
          <t>893720039</t>
        </is>
      </c>
    </row>
    <row r="919">
      <c r="A919" t="inlineStr">
        <is>
          <t>No</t>
        </is>
      </c>
      <c r="B919" t="inlineStr">
        <is>
          <t>BF697 .W3</t>
        </is>
      </c>
      <c r="C919" t="inlineStr">
        <is>
          <t>0                      BF 0697000W  3</t>
        </is>
      </c>
      <c r="D919" t="inlineStr">
        <is>
          <t>The body percept [by] Seymour Wapner [et al.] Ed. by Seymour Wapner and Heinz Werner.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K919" t="inlineStr">
        <is>
          <t>Wapner, Seymour, 1917-2003.</t>
        </is>
      </c>
      <c r="L919" t="inlineStr">
        <is>
          <t>New York. Random House [c1965]</t>
        </is>
      </c>
      <c r="M919" t="inlineStr">
        <is>
          <t>1965</t>
        </is>
      </c>
      <c r="O919" t="inlineStr">
        <is>
          <t>eng</t>
        </is>
      </c>
      <c r="P919" t="inlineStr">
        <is>
          <t xml:space="preserve">xx </t>
        </is>
      </c>
      <c r="Q919" t="inlineStr">
        <is>
          <t>Studies in psychology ; PP30</t>
        </is>
      </c>
      <c r="R919" t="inlineStr">
        <is>
          <t xml:space="preserve">BF </t>
        </is>
      </c>
      <c r="S919" t="n">
        <v>1</v>
      </c>
      <c r="T919" t="n">
        <v>1</v>
      </c>
      <c r="U919" t="inlineStr">
        <is>
          <t>2000-09-25</t>
        </is>
      </c>
      <c r="V919" t="inlineStr">
        <is>
          <t>2000-09-25</t>
        </is>
      </c>
      <c r="W919" t="inlineStr">
        <is>
          <t>1996-08-02</t>
        </is>
      </c>
      <c r="X919" t="inlineStr">
        <is>
          <t>1996-08-02</t>
        </is>
      </c>
      <c r="Y919" t="n">
        <v>256</v>
      </c>
      <c r="Z919" t="n">
        <v>224</v>
      </c>
      <c r="AA919" t="n">
        <v>242</v>
      </c>
      <c r="AB919" t="n">
        <v>3</v>
      </c>
      <c r="AC919" t="n">
        <v>3</v>
      </c>
      <c r="AD919" t="n">
        <v>14</v>
      </c>
      <c r="AE919" t="n">
        <v>14</v>
      </c>
      <c r="AF919" t="n">
        <v>5</v>
      </c>
      <c r="AG919" t="n">
        <v>5</v>
      </c>
      <c r="AH919" t="n">
        <v>2</v>
      </c>
      <c r="AI919" t="n">
        <v>2</v>
      </c>
      <c r="AJ919" t="n">
        <v>8</v>
      </c>
      <c r="AK919" t="n">
        <v>8</v>
      </c>
      <c r="AL919" t="n">
        <v>2</v>
      </c>
      <c r="AM919" t="n">
        <v>2</v>
      </c>
      <c r="AN919" t="n">
        <v>0</v>
      </c>
      <c r="AO919" t="n">
        <v>0</v>
      </c>
      <c r="AP919" t="inlineStr">
        <is>
          <t>No</t>
        </is>
      </c>
      <c r="AQ919" t="inlineStr">
        <is>
          <t>Yes</t>
        </is>
      </c>
      <c r="AR919">
        <f>HYPERLINK("http://catalog.hathitrust.org/Record/000425199","HathiTrust Record")</f>
        <v/>
      </c>
      <c r="AS919">
        <f>HYPERLINK("https://creighton-primo.hosted.exlibrisgroup.com/primo-explore/search?tab=default_tab&amp;search_scope=EVERYTHING&amp;vid=01CRU&amp;lang=en_US&amp;offset=0&amp;query=any,contains,991003688569702656","Catalog Record")</f>
        <v/>
      </c>
      <c r="AT919">
        <f>HYPERLINK("http://www.worldcat.org/oclc/1317672","WorldCat Record")</f>
        <v/>
      </c>
      <c r="AU919" t="inlineStr">
        <is>
          <t>2193654:eng</t>
        </is>
      </c>
      <c r="AV919" t="inlineStr">
        <is>
          <t>1317672</t>
        </is>
      </c>
      <c r="AW919" t="inlineStr">
        <is>
          <t>991003688569702656</t>
        </is>
      </c>
      <c r="AX919" t="inlineStr">
        <is>
          <t>991003688569702656</t>
        </is>
      </c>
      <c r="AY919" t="inlineStr">
        <is>
          <t>2269374660002656</t>
        </is>
      </c>
      <c r="AZ919" t="inlineStr">
        <is>
          <t>BOOK</t>
        </is>
      </c>
      <c r="BC919" t="inlineStr">
        <is>
          <t>32285002252962</t>
        </is>
      </c>
      <c r="BD919" t="inlineStr">
        <is>
          <t>893598855</t>
        </is>
      </c>
    </row>
    <row r="920">
      <c r="A920" t="inlineStr">
        <is>
          <t>No</t>
        </is>
      </c>
      <c r="B920" t="inlineStr">
        <is>
          <t>BF697 .W36</t>
        </is>
      </c>
      <c r="C920" t="inlineStr">
        <is>
          <t>0                      BF 0697000W  36</t>
        </is>
      </c>
      <c r="D920" t="inlineStr">
        <is>
          <t>Sources of self-evaluation : a formal theory of significant others and social influence / [by] Murray Webster, Jr. [and] Barbara Sobieszek.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Webster, Murray, 1941-</t>
        </is>
      </c>
      <c r="L920" t="inlineStr">
        <is>
          <t>New York : Wiley, [1974]</t>
        </is>
      </c>
      <c r="M920" t="inlineStr">
        <is>
          <t>1974</t>
        </is>
      </c>
      <c r="O920" t="inlineStr">
        <is>
          <t>eng</t>
        </is>
      </c>
      <c r="P920" t="inlineStr">
        <is>
          <t>nyu</t>
        </is>
      </c>
      <c r="R920" t="inlineStr">
        <is>
          <t xml:space="preserve">BF </t>
        </is>
      </c>
      <c r="S920" t="n">
        <v>4</v>
      </c>
      <c r="T920" t="n">
        <v>4</v>
      </c>
      <c r="U920" t="inlineStr">
        <is>
          <t>2001-03-20</t>
        </is>
      </c>
      <c r="V920" t="inlineStr">
        <is>
          <t>2001-03-20</t>
        </is>
      </c>
      <c r="W920" t="inlineStr">
        <is>
          <t>1992-12-03</t>
        </is>
      </c>
      <c r="X920" t="inlineStr">
        <is>
          <t>1992-12-03</t>
        </is>
      </c>
      <c r="Y920" t="n">
        <v>569</v>
      </c>
      <c r="Z920" t="n">
        <v>449</v>
      </c>
      <c r="AA920" t="n">
        <v>461</v>
      </c>
      <c r="AB920" t="n">
        <v>4</v>
      </c>
      <c r="AC920" t="n">
        <v>4</v>
      </c>
      <c r="AD920" t="n">
        <v>21</v>
      </c>
      <c r="AE920" t="n">
        <v>22</v>
      </c>
      <c r="AF920" t="n">
        <v>7</v>
      </c>
      <c r="AG920" t="n">
        <v>7</v>
      </c>
      <c r="AH920" t="n">
        <v>7</v>
      </c>
      <c r="AI920" t="n">
        <v>7</v>
      </c>
      <c r="AJ920" t="n">
        <v>14</v>
      </c>
      <c r="AK920" t="n">
        <v>15</v>
      </c>
      <c r="AL920" t="n">
        <v>2</v>
      </c>
      <c r="AM920" t="n">
        <v>2</v>
      </c>
      <c r="AN920" t="n">
        <v>0</v>
      </c>
      <c r="AO920" t="n">
        <v>0</v>
      </c>
      <c r="AP920" t="inlineStr">
        <is>
          <t>No</t>
        </is>
      </c>
      <c r="AQ920" t="inlineStr">
        <is>
          <t>Yes</t>
        </is>
      </c>
      <c r="AR920">
        <f>HYPERLINK("http://catalog.hathitrust.org/Record/000013233","HathiTrust Record")</f>
        <v/>
      </c>
      <c r="AS920">
        <f>HYPERLINK("https://creighton-primo.hosted.exlibrisgroup.com/primo-explore/search?tab=default_tab&amp;search_scope=EVERYTHING&amp;vid=01CRU&amp;lang=en_US&amp;offset=0&amp;query=any,contains,991003329059702656","Catalog Record")</f>
        <v/>
      </c>
      <c r="AT920">
        <f>HYPERLINK("http://www.worldcat.org/oclc/858881","WorldCat Record")</f>
        <v/>
      </c>
      <c r="AU920" t="inlineStr">
        <is>
          <t>1817904:eng</t>
        </is>
      </c>
      <c r="AV920" t="inlineStr">
        <is>
          <t>858881</t>
        </is>
      </c>
      <c r="AW920" t="inlineStr">
        <is>
          <t>991003329059702656</t>
        </is>
      </c>
      <c r="AX920" t="inlineStr">
        <is>
          <t>991003329059702656</t>
        </is>
      </c>
      <c r="AY920" t="inlineStr">
        <is>
          <t>2267337020002656</t>
        </is>
      </c>
      <c r="AZ920" t="inlineStr">
        <is>
          <t>BOOK</t>
        </is>
      </c>
      <c r="BB920" t="inlineStr">
        <is>
          <t>9780471924401</t>
        </is>
      </c>
      <c r="BC920" t="inlineStr">
        <is>
          <t>32285001412492</t>
        </is>
      </c>
      <c r="BD920" t="inlineStr">
        <is>
          <t>893711272</t>
        </is>
      </c>
    </row>
    <row r="921">
      <c r="A921" t="inlineStr">
        <is>
          <t>No</t>
        </is>
      </c>
      <c r="B921" t="inlineStr">
        <is>
          <t>BF697 .W4935 1988</t>
        </is>
      </c>
      <c r="C921" t="inlineStr">
        <is>
          <t>0                      BF 0697000W  4935        1988</t>
        </is>
      </c>
      <c r="D921" t="inlineStr">
        <is>
          <t>Real people : personal identity without thought experiments / Kathleen V. Wilkes.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Wilkes, Kathleen V.</t>
        </is>
      </c>
      <c r="L921" t="inlineStr">
        <is>
          <t>Oxford : Clarendon Press ; New York : Oxford University Press, 1988.</t>
        </is>
      </c>
      <c r="M921" t="inlineStr">
        <is>
          <t>1988</t>
        </is>
      </c>
      <c r="O921" t="inlineStr">
        <is>
          <t>eng</t>
        </is>
      </c>
      <c r="P921" t="inlineStr">
        <is>
          <t>enk</t>
        </is>
      </c>
      <c r="R921" t="inlineStr">
        <is>
          <t xml:space="preserve">BF </t>
        </is>
      </c>
      <c r="S921" t="n">
        <v>7</v>
      </c>
      <c r="T921" t="n">
        <v>7</v>
      </c>
      <c r="U921" t="inlineStr">
        <is>
          <t>2004-03-31</t>
        </is>
      </c>
      <c r="V921" t="inlineStr">
        <is>
          <t>2004-03-31</t>
        </is>
      </c>
      <c r="W921" t="inlineStr">
        <is>
          <t>1991-03-14</t>
        </is>
      </c>
      <c r="X921" t="inlineStr">
        <is>
          <t>1991-03-14</t>
        </is>
      </c>
      <c r="Y921" t="n">
        <v>455</v>
      </c>
      <c r="Z921" t="n">
        <v>326</v>
      </c>
      <c r="AA921" t="n">
        <v>377</v>
      </c>
      <c r="AB921" t="n">
        <v>2</v>
      </c>
      <c r="AC921" t="n">
        <v>2</v>
      </c>
      <c r="AD921" t="n">
        <v>21</v>
      </c>
      <c r="AE921" t="n">
        <v>22</v>
      </c>
      <c r="AF921" t="n">
        <v>5</v>
      </c>
      <c r="AG921" t="n">
        <v>5</v>
      </c>
      <c r="AH921" t="n">
        <v>8</v>
      </c>
      <c r="AI921" t="n">
        <v>9</v>
      </c>
      <c r="AJ921" t="n">
        <v>14</v>
      </c>
      <c r="AK921" t="n">
        <v>14</v>
      </c>
      <c r="AL921" t="n">
        <v>1</v>
      </c>
      <c r="AM921" t="n">
        <v>1</v>
      </c>
      <c r="AN921" t="n">
        <v>0</v>
      </c>
      <c r="AO921" t="n">
        <v>0</v>
      </c>
      <c r="AP921" t="inlineStr">
        <is>
          <t>No</t>
        </is>
      </c>
      <c r="AQ921" t="inlineStr">
        <is>
          <t>Yes</t>
        </is>
      </c>
      <c r="AR921">
        <f>HYPERLINK("http://catalog.hathitrust.org/Record/000928175","HathiTrust Record")</f>
        <v/>
      </c>
      <c r="AS921">
        <f>HYPERLINK("https://creighton-primo.hosted.exlibrisgroup.com/primo-explore/search?tab=default_tab&amp;search_scope=EVERYTHING&amp;vid=01CRU&amp;lang=en_US&amp;offset=0&amp;query=any,contains,991005409079702656","Catalog Record")</f>
        <v/>
      </c>
      <c r="AT921">
        <f>HYPERLINK("http://www.worldcat.org/oclc/17650213","WorldCat Record")</f>
        <v/>
      </c>
      <c r="AU921" t="inlineStr">
        <is>
          <t>836726582:eng</t>
        </is>
      </c>
      <c r="AV921" t="inlineStr">
        <is>
          <t>17650213</t>
        </is>
      </c>
      <c r="AW921" t="inlineStr">
        <is>
          <t>991005409079702656</t>
        </is>
      </c>
      <c r="AX921" t="inlineStr">
        <is>
          <t>991005409079702656</t>
        </is>
      </c>
      <c r="AY921" t="inlineStr">
        <is>
          <t>2268361940002656</t>
        </is>
      </c>
      <c r="AZ921" t="inlineStr">
        <is>
          <t>BOOK</t>
        </is>
      </c>
      <c r="BB921" t="inlineStr">
        <is>
          <t>9780198249559</t>
        </is>
      </c>
      <c r="BC921" t="inlineStr">
        <is>
          <t>32285000512011</t>
        </is>
      </c>
      <c r="BD921" t="inlineStr">
        <is>
          <t>893437793</t>
        </is>
      </c>
    </row>
    <row r="922">
      <c r="A922" t="inlineStr">
        <is>
          <t>No</t>
        </is>
      </c>
      <c r="B922" t="inlineStr">
        <is>
          <t>BF697.5.B63 S73 1993</t>
        </is>
      </c>
      <c r="C922" t="inlineStr">
        <is>
          <t>0                      BF 0697500B  63                 S  73          1993</t>
        </is>
      </c>
      <c r="D922" t="inlineStr">
        <is>
          <t>Body criticism : imaging the unseen in Enlightenment art and medicine / Barbara Maria Stafford.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Stafford, Barbara Maria, 1941-</t>
        </is>
      </c>
      <c r="L922" t="inlineStr">
        <is>
          <t>Cambridge, Mass. : MIT Press, 1993, c1991.</t>
        </is>
      </c>
      <c r="M922" t="inlineStr">
        <is>
          <t>1993</t>
        </is>
      </c>
      <c r="N922" t="inlineStr">
        <is>
          <t>1st MIT Press pbk. ed.</t>
        </is>
      </c>
      <c r="O922" t="inlineStr">
        <is>
          <t>eng</t>
        </is>
      </c>
      <c r="P922" t="inlineStr">
        <is>
          <t>mau</t>
        </is>
      </c>
      <c r="R922" t="inlineStr">
        <is>
          <t xml:space="preserve">BF </t>
        </is>
      </c>
      <c r="S922" t="n">
        <v>2</v>
      </c>
      <c r="T922" t="n">
        <v>2</v>
      </c>
      <c r="U922" t="inlineStr">
        <is>
          <t>2007-09-13</t>
        </is>
      </c>
      <c r="V922" t="inlineStr">
        <is>
          <t>2007-09-13</t>
        </is>
      </c>
      <c r="W922" t="inlineStr">
        <is>
          <t>2005-10-13</t>
        </is>
      </c>
      <c r="X922" t="inlineStr">
        <is>
          <t>2005-10-13</t>
        </is>
      </c>
      <c r="Y922" t="n">
        <v>154</v>
      </c>
      <c r="Z922" t="n">
        <v>96</v>
      </c>
      <c r="AA922" t="n">
        <v>531</v>
      </c>
      <c r="AB922" t="n">
        <v>1</v>
      </c>
      <c r="AC922" t="n">
        <v>1</v>
      </c>
      <c r="AD922" t="n">
        <v>2</v>
      </c>
      <c r="AE922" t="n">
        <v>24</v>
      </c>
      <c r="AF922" t="n">
        <v>2</v>
      </c>
      <c r="AG922" t="n">
        <v>9</v>
      </c>
      <c r="AH922" t="n">
        <v>0</v>
      </c>
      <c r="AI922" t="n">
        <v>6</v>
      </c>
      <c r="AJ922" t="n">
        <v>2</v>
      </c>
      <c r="AK922" t="n">
        <v>14</v>
      </c>
      <c r="AL922" t="n">
        <v>0</v>
      </c>
      <c r="AM922" t="n">
        <v>0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HYPERLINK("http://catalog.hathitrust.org/Record/102324594","HathiTrust Record")</f>
        <v/>
      </c>
      <c r="AS922">
        <f>HYPERLINK("https://creighton-primo.hosted.exlibrisgroup.com/primo-explore/search?tab=default_tab&amp;search_scope=EVERYTHING&amp;vid=01CRU&amp;lang=en_US&amp;offset=0&amp;query=any,contains,991004678729702656","Catalog Record")</f>
        <v/>
      </c>
      <c r="AT922">
        <f>HYPERLINK("http://www.worldcat.org/oclc/31820047","WorldCat Record")</f>
        <v/>
      </c>
      <c r="AU922" t="inlineStr">
        <is>
          <t>24526536:eng</t>
        </is>
      </c>
      <c r="AV922" t="inlineStr">
        <is>
          <t>31820047</t>
        </is>
      </c>
      <c r="AW922" t="inlineStr">
        <is>
          <t>991004678729702656</t>
        </is>
      </c>
      <c r="AX922" t="inlineStr">
        <is>
          <t>991004678729702656</t>
        </is>
      </c>
      <c r="AY922" t="inlineStr">
        <is>
          <t>2267231770002656</t>
        </is>
      </c>
      <c r="AZ922" t="inlineStr">
        <is>
          <t>BOOK</t>
        </is>
      </c>
      <c r="BB922" t="inlineStr">
        <is>
          <t>9780262691659</t>
        </is>
      </c>
      <c r="BC922" t="inlineStr">
        <is>
          <t>32285005089718</t>
        </is>
      </c>
      <c r="BD922" t="inlineStr">
        <is>
          <t>893795148</t>
        </is>
      </c>
    </row>
    <row r="923">
      <c r="A923" t="inlineStr">
        <is>
          <t>No</t>
        </is>
      </c>
      <c r="B923" t="inlineStr">
        <is>
          <t>BF697.5.S43 S43 1994</t>
        </is>
      </c>
      <c r="C923" t="inlineStr">
        <is>
          <t>0                      BF 0697500S  43                 S  43          1994</t>
        </is>
      </c>
      <c r="D923" t="inlineStr">
        <is>
          <t>Self-awareness in animals and humans : developmental perspectives / edited by Sue Taylor Parker, Robert W. Mitchell and Maria L. Boccia.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L923" t="inlineStr">
        <is>
          <t>Cambridge [England] ; New York, NY : Cambridge University Press, 1994.</t>
        </is>
      </c>
      <c r="M923" t="inlineStr">
        <is>
          <t>1994</t>
        </is>
      </c>
      <c r="O923" t="inlineStr">
        <is>
          <t>eng</t>
        </is>
      </c>
      <c r="P923" t="inlineStr">
        <is>
          <t>enk</t>
        </is>
      </c>
      <c r="R923" t="inlineStr">
        <is>
          <t xml:space="preserve">BF </t>
        </is>
      </c>
      <c r="S923" t="n">
        <v>2</v>
      </c>
      <c r="T923" t="n">
        <v>2</v>
      </c>
      <c r="U923" t="inlineStr">
        <is>
          <t>2010-06-02</t>
        </is>
      </c>
      <c r="V923" t="inlineStr">
        <is>
          <t>2010-06-02</t>
        </is>
      </c>
      <c r="W923" t="inlineStr">
        <is>
          <t>1995-04-17</t>
        </is>
      </c>
      <c r="X923" t="inlineStr">
        <is>
          <t>1995-04-17</t>
        </is>
      </c>
      <c r="Y923" t="n">
        <v>361</v>
      </c>
      <c r="Z923" t="n">
        <v>265</v>
      </c>
      <c r="AA923" t="n">
        <v>277</v>
      </c>
      <c r="AB923" t="n">
        <v>3</v>
      </c>
      <c r="AC923" t="n">
        <v>3</v>
      </c>
      <c r="AD923" t="n">
        <v>13</v>
      </c>
      <c r="AE923" t="n">
        <v>13</v>
      </c>
      <c r="AF923" t="n">
        <v>4</v>
      </c>
      <c r="AG923" t="n">
        <v>4</v>
      </c>
      <c r="AH923" t="n">
        <v>4</v>
      </c>
      <c r="AI923" t="n">
        <v>4</v>
      </c>
      <c r="AJ923" t="n">
        <v>7</v>
      </c>
      <c r="AK923" t="n">
        <v>7</v>
      </c>
      <c r="AL923" t="n">
        <v>2</v>
      </c>
      <c r="AM923" t="n">
        <v>2</v>
      </c>
      <c r="AN923" t="n">
        <v>0</v>
      </c>
      <c r="AO923" t="n">
        <v>0</v>
      </c>
      <c r="AP923" t="inlineStr">
        <is>
          <t>No</t>
        </is>
      </c>
      <c r="AQ923" t="inlineStr">
        <is>
          <t>No</t>
        </is>
      </c>
      <c r="AS923">
        <f>HYPERLINK("https://creighton-primo.hosted.exlibrisgroup.com/primo-explore/search?tab=default_tab&amp;search_scope=EVERYTHING&amp;vid=01CRU&amp;lang=en_US&amp;offset=0&amp;query=any,contains,991002189019702656","Catalog Record")</f>
        <v/>
      </c>
      <c r="AT923">
        <f>HYPERLINK("http://www.worldcat.org/oclc/28180680","WorldCat Record")</f>
        <v/>
      </c>
      <c r="AU923" t="inlineStr">
        <is>
          <t>896276330:eng</t>
        </is>
      </c>
      <c r="AV923" t="inlineStr">
        <is>
          <t>28180680</t>
        </is>
      </c>
      <c r="AW923" t="inlineStr">
        <is>
          <t>991002189019702656</t>
        </is>
      </c>
      <c r="AX923" t="inlineStr">
        <is>
          <t>991002189019702656</t>
        </is>
      </c>
      <c r="AY923" t="inlineStr">
        <is>
          <t>2271693350002656</t>
        </is>
      </c>
      <c r="AZ923" t="inlineStr">
        <is>
          <t>BOOK</t>
        </is>
      </c>
      <c r="BB923" t="inlineStr">
        <is>
          <t>9780521441087</t>
        </is>
      </c>
      <c r="BC923" t="inlineStr">
        <is>
          <t>32285002018538</t>
        </is>
      </c>
      <c r="BD923" t="inlineStr">
        <is>
          <t>893709963</t>
        </is>
      </c>
    </row>
    <row r="924">
      <c r="A924" t="inlineStr">
        <is>
          <t>No</t>
        </is>
      </c>
      <c r="B924" t="inlineStr">
        <is>
          <t>BF697.5.S44 S59 1987</t>
        </is>
      </c>
      <c r="C924" t="inlineStr">
        <is>
          <t>0                      BF 0697500S  44                 S  59          1987</t>
        </is>
      </c>
      <c r="D924" t="inlineStr">
        <is>
          <t>Public appearances, private realities : the psychology of self-monitoring / Mark Snyder.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Snyder, Mark.</t>
        </is>
      </c>
      <c r="L924" t="inlineStr">
        <is>
          <t>New York : Freeman, c1987.</t>
        </is>
      </c>
      <c r="M924" t="inlineStr">
        <is>
          <t>1986</t>
        </is>
      </c>
      <c r="O924" t="inlineStr">
        <is>
          <t>eng</t>
        </is>
      </c>
      <c r="P924" t="inlineStr">
        <is>
          <t>nyu</t>
        </is>
      </c>
      <c r="R924" t="inlineStr">
        <is>
          <t xml:space="preserve">BF </t>
        </is>
      </c>
      <c r="S924" t="n">
        <v>11</v>
      </c>
      <c r="T924" t="n">
        <v>11</v>
      </c>
      <c r="U924" t="inlineStr">
        <is>
          <t>2007-09-13</t>
        </is>
      </c>
      <c r="V924" t="inlineStr">
        <is>
          <t>2007-09-13</t>
        </is>
      </c>
      <c r="W924" t="inlineStr">
        <is>
          <t>1992-12-03</t>
        </is>
      </c>
      <c r="X924" t="inlineStr">
        <is>
          <t>1992-12-03</t>
        </is>
      </c>
      <c r="Y924" t="n">
        <v>709</v>
      </c>
      <c r="Z924" t="n">
        <v>574</v>
      </c>
      <c r="AA924" t="n">
        <v>584</v>
      </c>
      <c r="AB924" t="n">
        <v>3</v>
      </c>
      <c r="AC924" t="n">
        <v>3</v>
      </c>
      <c r="AD924" t="n">
        <v>26</v>
      </c>
      <c r="AE924" t="n">
        <v>27</v>
      </c>
      <c r="AF924" t="n">
        <v>13</v>
      </c>
      <c r="AG924" t="n">
        <v>14</v>
      </c>
      <c r="AH924" t="n">
        <v>4</v>
      </c>
      <c r="AI924" t="n">
        <v>4</v>
      </c>
      <c r="AJ924" t="n">
        <v>14</v>
      </c>
      <c r="AK924" t="n">
        <v>15</v>
      </c>
      <c r="AL924" t="n">
        <v>2</v>
      </c>
      <c r="AM924" t="n">
        <v>2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HYPERLINK("https://creighton-primo.hosted.exlibrisgroup.com/primo-explore/search?tab=default_tab&amp;search_scope=EVERYTHING&amp;vid=01CRU&amp;lang=en_US&amp;offset=0&amp;query=any,contains,991000815489702656","Catalog Record")</f>
        <v/>
      </c>
      <c r="AT924">
        <f>HYPERLINK("http://www.worldcat.org/oclc/13357952","WorldCat Record")</f>
        <v/>
      </c>
      <c r="AU924" t="inlineStr">
        <is>
          <t>795393675:eng</t>
        </is>
      </c>
      <c r="AV924" t="inlineStr">
        <is>
          <t>13357952</t>
        </is>
      </c>
      <c r="AW924" t="inlineStr">
        <is>
          <t>991000815489702656</t>
        </is>
      </c>
      <c r="AX924" t="inlineStr">
        <is>
          <t>991000815489702656</t>
        </is>
      </c>
      <c r="AY924" t="inlineStr">
        <is>
          <t>2265392070002656</t>
        </is>
      </c>
      <c r="AZ924" t="inlineStr">
        <is>
          <t>BOOK</t>
        </is>
      </c>
      <c r="BB924" t="inlineStr">
        <is>
          <t>9780716717980</t>
        </is>
      </c>
      <c r="BC924" t="inlineStr">
        <is>
          <t>32285001412484</t>
        </is>
      </c>
      <c r="BD924" t="inlineStr">
        <is>
          <t>893237627</t>
        </is>
      </c>
    </row>
    <row r="925">
      <c r="A925" t="inlineStr">
        <is>
          <t>No</t>
        </is>
      </c>
      <c r="B925" t="inlineStr">
        <is>
          <t>BF698 .A42</t>
        </is>
      </c>
      <c r="C925" t="inlineStr">
        <is>
          <t>0                      BF 0698000A  42</t>
        </is>
      </c>
      <c r="D925" t="inlineStr">
        <is>
          <t>Personality and social encounter; selected essays.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K925" t="inlineStr">
        <is>
          <t>Allport, Gordon W. (Gordon Willard), 1897-1967.</t>
        </is>
      </c>
      <c r="L925" t="inlineStr">
        <is>
          <t>Boston, Beacon Press [1960]</t>
        </is>
      </c>
      <c r="M925" t="inlineStr">
        <is>
          <t>1960</t>
        </is>
      </c>
      <c r="O925" t="inlineStr">
        <is>
          <t>eng</t>
        </is>
      </c>
      <c r="P925" t="inlineStr">
        <is>
          <t>mau</t>
        </is>
      </c>
      <c r="R925" t="inlineStr">
        <is>
          <t xml:space="preserve">BF </t>
        </is>
      </c>
      <c r="S925" t="n">
        <v>2</v>
      </c>
      <c r="T925" t="n">
        <v>2</v>
      </c>
      <c r="U925" t="inlineStr">
        <is>
          <t>2003-02-26</t>
        </is>
      </c>
      <c r="V925" t="inlineStr">
        <is>
          <t>2003-02-26</t>
        </is>
      </c>
      <c r="W925" t="inlineStr">
        <is>
          <t>1996-08-02</t>
        </is>
      </c>
      <c r="X925" t="inlineStr">
        <is>
          <t>1996-08-02</t>
        </is>
      </c>
      <c r="Y925" t="n">
        <v>1104</v>
      </c>
      <c r="Z925" t="n">
        <v>976</v>
      </c>
      <c r="AA925" t="n">
        <v>1109</v>
      </c>
      <c r="AB925" t="n">
        <v>5</v>
      </c>
      <c r="AC925" t="n">
        <v>5</v>
      </c>
      <c r="AD925" t="n">
        <v>36</v>
      </c>
      <c r="AE925" t="n">
        <v>43</v>
      </c>
      <c r="AF925" t="n">
        <v>13</v>
      </c>
      <c r="AG925" t="n">
        <v>20</v>
      </c>
      <c r="AH925" t="n">
        <v>9</v>
      </c>
      <c r="AI925" t="n">
        <v>10</v>
      </c>
      <c r="AJ925" t="n">
        <v>19</v>
      </c>
      <c r="AK925" t="n">
        <v>20</v>
      </c>
      <c r="AL925" t="n">
        <v>4</v>
      </c>
      <c r="AM925" t="n">
        <v>4</v>
      </c>
      <c r="AN925" t="n">
        <v>0</v>
      </c>
      <c r="AO925" t="n">
        <v>0</v>
      </c>
      <c r="AP925" t="inlineStr">
        <is>
          <t>No</t>
        </is>
      </c>
      <c r="AQ925" t="inlineStr">
        <is>
          <t>No</t>
        </is>
      </c>
      <c r="AR925">
        <f>HYPERLINK("http://catalog.hathitrust.org/Record/000425807","HathiTrust Record")</f>
        <v/>
      </c>
      <c r="AS925">
        <f>HYPERLINK("https://creighton-primo.hosted.exlibrisgroup.com/primo-explore/search?tab=default_tab&amp;search_scope=EVERYTHING&amp;vid=01CRU&amp;lang=en_US&amp;offset=0&amp;query=any,contains,991001311359702656","Catalog Record")</f>
        <v/>
      </c>
      <c r="AT925">
        <f>HYPERLINK("http://www.worldcat.org/oclc/220661","WorldCat Record")</f>
        <v/>
      </c>
      <c r="AU925" t="inlineStr">
        <is>
          <t>1322565:eng</t>
        </is>
      </c>
      <c r="AV925" t="inlineStr">
        <is>
          <t>220661</t>
        </is>
      </c>
      <c r="AW925" t="inlineStr">
        <is>
          <t>991001311359702656</t>
        </is>
      </c>
      <c r="AX925" t="inlineStr">
        <is>
          <t>991001311359702656</t>
        </is>
      </c>
      <c r="AY925" t="inlineStr">
        <is>
          <t>2261455370002656</t>
        </is>
      </c>
      <c r="AZ925" t="inlineStr">
        <is>
          <t>BOOK</t>
        </is>
      </c>
      <c r="BC925" t="inlineStr">
        <is>
          <t>32285002253036</t>
        </is>
      </c>
      <c r="BD925" t="inlineStr">
        <is>
          <t>893602509</t>
        </is>
      </c>
    </row>
    <row r="926">
      <c r="A926" t="inlineStr">
        <is>
          <t>No</t>
        </is>
      </c>
      <c r="B926" t="inlineStr">
        <is>
          <t>BF698 .B26</t>
        </is>
      </c>
      <c r="C926" t="inlineStr">
        <is>
          <t>0                      BF 0698000B  26</t>
        </is>
      </c>
      <c r="D926" t="inlineStr">
        <is>
          <t>The shaping of personality; text and readings for a social-learning view [edited by] Georgia Babladelis [and] Suzanne Adams.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K926" t="inlineStr">
        <is>
          <t>Babladelis, Georgia, editor.</t>
        </is>
      </c>
      <c r="L926" t="inlineStr">
        <is>
          <t>Englewood Cliffs, N.J., Prentice-Hall [1967]</t>
        </is>
      </c>
      <c r="M926" t="inlineStr">
        <is>
          <t>1967</t>
        </is>
      </c>
      <c r="O926" t="inlineStr">
        <is>
          <t>eng</t>
        </is>
      </c>
      <c r="P926" t="inlineStr">
        <is>
          <t>nju</t>
        </is>
      </c>
      <c r="Q926" t="inlineStr">
        <is>
          <t>Prentice-Hall psychology series</t>
        </is>
      </c>
      <c r="R926" t="inlineStr">
        <is>
          <t xml:space="preserve">BF </t>
        </is>
      </c>
      <c r="S926" t="n">
        <v>1</v>
      </c>
      <c r="T926" t="n">
        <v>1</v>
      </c>
      <c r="U926" t="inlineStr">
        <is>
          <t>2000-09-23</t>
        </is>
      </c>
      <c r="V926" t="inlineStr">
        <is>
          <t>2000-09-23</t>
        </is>
      </c>
      <c r="W926" t="inlineStr">
        <is>
          <t>1996-08-02</t>
        </is>
      </c>
      <c r="X926" t="inlineStr">
        <is>
          <t>1996-08-02</t>
        </is>
      </c>
      <c r="Y926" t="n">
        <v>484</v>
      </c>
      <c r="Z926" t="n">
        <v>374</v>
      </c>
      <c r="AA926" t="n">
        <v>382</v>
      </c>
      <c r="AB926" t="n">
        <v>4</v>
      </c>
      <c r="AC926" t="n">
        <v>4</v>
      </c>
      <c r="AD926" t="n">
        <v>18</v>
      </c>
      <c r="AE926" t="n">
        <v>18</v>
      </c>
      <c r="AF926" t="n">
        <v>5</v>
      </c>
      <c r="AG926" t="n">
        <v>5</v>
      </c>
      <c r="AH926" t="n">
        <v>6</v>
      </c>
      <c r="AI926" t="n">
        <v>6</v>
      </c>
      <c r="AJ926" t="n">
        <v>8</v>
      </c>
      <c r="AK926" t="n">
        <v>8</v>
      </c>
      <c r="AL926" t="n">
        <v>3</v>
      </c>
      <c r="AM926" t="n">
        <v>3</v>
      </c>
      <c r="AN926" t="n">
        <v>0</v>
      </c>
      <c r="AO926" t="n">
        <v>0</v>
      </c>
      <c r="AP926" t="inlineStr">
        <is>
          <t>No</t>
        </is>
      </c>
      <c r="AQ926" t="inlineStr">
        <is>
          <t>Yes</t>
        </is>
      </c>
      <c r="AR926">
        <f>HYPERLINK("http://catalog.hathitrust.org/Record/006207486","HathiTrust Record")</f>
        <v/>
      </c>
      <c r="AS926">
        <f>HYPERLINK("https://creighton-primo.hosted.exlibrisgroup.com/primo-explore/search?tab=default_tab&amp;search_scope=EVERYTHING&amp;vid=01CRU&amp;lang=en_US&amp;offset=0&amp;query=any,contains,991003355869702656","Catalog Record")</f>
        <v/>
      </c>
      <c r="AT926">
        <f>HYPERLINK("http://www.worldcat.org/oclc/889308","WorldCat Record")</f>
        <v/>
      </c>
      <c r="AU926" t="inlineStr">
        <is>
          <t>257214180:eng</t>
        </is>
      </c>
      <c r="AV926" t="inlineStr">
        <is>
          <t>889308</t>
        </is>
      </c>
      <c r="AW926" t="inlineStr">
        <is>
          <t>991003355869702656</t>
        </is>
      </c>
      <c r="AX926" t="inlineStr">
        <is>
          <t>991003355869702656</t>
        </is>
      </c>
      <c r="AY926" t="inlineStr">
        <is>
          <t>2255422160002656</t>
        </is>
      </c>
      <c r="AZ926" t="inlineStr">
        <is>
          <t>BOOK</t>
        </is>
      </c>
      <c r="BC926" t="inlineStr">
        <is>
          <t>32285002253069</t>
        </is>
      </c>
      <c r="BD926" t="inlineStr">
        <is>
          <t>893531119</t>
        </is>
      </c>
    </row>
    <row r="927">
      <c r="A927" t="inlineStr">
        <is>
          <t>No</t>
        </is>
      </c>
      <c r="B927" t="inlineStr">
        <is>
          <t>BF698 .B88 1988</t>
        </is>
      </c>
      <c r="C927" t="inlineStr">
        <is>
          <t>0                      BF 0698000B  88          1988</t>
        </is>
      </c>
      <c r="D927" t="inlineStr">
        <is>
          <t>Personality : evolutionary heritage and human distinctiveness / Arnold H. Buss.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Buss, Arnold H., 1924-</t>
        </is>
      </c>
      <c r="L927" t="inlineStr">
        <is>
          <t>Hillsdale, N.J. : L. Erlbaum Associates, 1988.</t>
        </is>
      </c>
      <c r="M927" t="inlineStr">
        <is>
          <t>1988</t>
        </is>
      </c>
      <c r="O927" t="inlineStr">
        <is>
          <t>eng</t>
        </is>
      </c>
      <c r="P927" t="inlineStr">
        <is>
          <t>nju</t>
        </is>
      </c>
      <c r="R927" t="inlineStr">
        <is>
          <t xml:space="preserve">BF </t>
        </is>
      </c>
      <c r="S927" t="n">
        <v>4</v>
      </c>
      <c r="T927" t="n">
        <v>4</v>
      </c>
      <c r="U927" t="inlineStr">
        <is>
          <t>1996-06-21</t>
        </is>
      </c>
      <c r="V927" t="inlineStr">
        <is>
          <t>1996-06-21</t>
        </is>
      </c>
      <c r="W927" t="inlineStr">
        <is>
          <t>1990-05-03</t>
        </is>
      </c>
      <c r="X927" t="inlineStr">
        <is>
          <t>1990-05-03</t>
        </is>
      </c>
      <c r="Y927" t="n">
        <v>296</v>
      </c>
      <c r="Z927" t="n">
        <v>242</v>
      </c>
      <c r="AA927" t="n">
        <v>262</v>
      </c>
      <c r="AB927" t="n">
        <v>3</v>
      </c>
      <c r="AC927" t="n">
        <v>3</v>
      </c>
      <c r="AD927" t="n">
        <v>10</v>
      </c>
      <c r="AE927" t="n">
        <v>10</v>
      </c>
      <c r="AF927" t="n">
        <v>4</v>
      </c>
      <c r="AG927" t="n">
        <v>4</v>
      </c>
      <c r="AH927" t="n">
        <v>1</v>
      </c>
      <c r="AI927" t="n">
        <v>1</v>
      </c>
      <c r="AJ927" t="n">
        <v>6</v>
      </c>
      <c r="AK927" t="n">
        <v>6</v>
      </c>
      <c r="AL927" t="n">
        <v>2</v>
      </c>
      <c r="AM927" t="n">
        <v>2</v>
      </c>
      <c r="AN927" t="n">
        <v>0</v>
      </c>
      <c r="AO927" t="n">
        <v>0</v>
      </c>
      <c r="AP927" t="inlineStr">
        <is>
          <t>No</t>
        </is>
      </c>
      <c r="AQ927" t="inlineStr">
        <is>
          <t>Yes</t>
        </is>
      </c>
      <c r="AR927">
        <f>HYPERLINK("http://catalog.hathitrust.org/Record/000927954","HathiTrust Record")</f>
        <v/>
      </c>
      <c r="AS927">
        <f>HYPERLINK("https://creighton-primo.hosted.exlibrisgroup.com/primo-explore/search?tab=default_tab&amp;search_scope=EVERYTHING&amp;vid=01CRU&amp;lang=en_US&amp;offset=0&amp;query=any,contains,991001223729702656","Catalog Record")</f>
        <v/>
      </c>
      <c r="AT927">
        <f>HYPERLINK("http://www.worldcat.org/oclc/17484523","WorldCat Record")</f>
        <v/>
      </c>
      <c r="AU927" t="inlineStr">
        <is>
          <t>196074184:eng</t>
        </is>
      </c>
      <c r="AV927" t="inlineStr">
        <is>
          <t>17484523</t>
        </is>
      </c>
      <c r="AW927" t="inlineStr">
        <is>
          <t>991001223729702656</t>
        </is>
      </c>
      <c r="AX927" t="inlineStr">
        <is>
          <t>991001223729702656</t>
        </is>
      </c>
      <c r="AY927" t="inlineStr">
        <is>
          <t>2255301470002656</t>
        </is>
      </c>
      <c r="AZ927" t="inlineStr">
        <is>
          <t>BOOK</t>
        </is>
      </c>
      <c r="BB927" t="inlineStr">
        <is>
          <t>9780805802986</t>
        </is>
      </c>
      <c r="BC927" t="inlineStr">
        <is>
          <t>32285000118017</t>
        </is>
      </c>
      <c r="BD927" t="inlineStr">
        <is>
          <t>893797414</t>
        </is>
      </c>
    </row>
    <row r="928">
      <c r="A928" t="inlineStr">
        <is>
          <t>No</t>
        </is>
      </c>
      <c r="B928" t="inlineStr">
        <is>
          <t>BF698 .B9 1981</t>
        </is>
      </c>
      <c r="C928" t="inlineStr">
        <is>
          <t>0                      BF 0698000B  9           1981</t>
        </is>
      </c>
      <c r="D928" t="inlineStr">
        <is>
          <t>An introduction to personality / Donn Byrne, Kathryn Kelley.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K928" t="inlineStr">
        <is>
          <t>Byrne, Donn Erwin.</t>
        </is>
      </c>
      <c r="L928" t="inlineStr">
        <is>
          <t>Englewood Cliffs, N.J. : Prentice-Hall, c1981.</t>
        </is>
      </c>
      <c r="M928" t="inlineStr">
        <is>
          <t>1981</t>
        </is>
      </c>
      <c r="N928" t="inlineStr">
        <is>
          <t>3d ed.</t>
        </is>
      </c>
      <c r="O928" t="inlineStr">
        <is>
          <t>eng</t>
        </is>
      </c>
      <c r="P928" t="inlineStr">
        <is>
          <t>nju</t>
        </is>
      </c>
      <c r="R928" t="inlineStr">
        <is>
          <t xml:space="preserve">BF </t>
        </is>
      </c>
      <c r="S928" t="n">
        <v>7</v>
      </c>
      <c r="T928" t="n">
        <v>7</v>
      </c>
      <c r="U928" t="inlineStr">
        <is>
          <t>2003-03-17</t>
        </is>
      </c>
      <c r="V928" t="inlineStr">
        <is>
          <t>2003-03-17</t>
        </is>
      </c>
      <c r="W928" t="inlineStr">
        <is>
          <t>1993-04-05</t>
        </is>
      </c>
      <c r="X928" t="inlineStr">
        <is>
          <t>1993-04-05</t>
        </is>
      </c>
      <c r="Y928" t="n">
        <v>207</v>
      </c>
      <c r="Z928" t="n">
        <v>124</v>
      </c>
      <c r="AA928" t="n">
        <v>441</v>
      </c>
      <c r="AB928" t="n">
        <v>3</v>
      </c>
      <c r="AC928" t="n">
        <v>6</v>
      </c>
      <c r="AD928" t="n">
        <v>8</v>
      </c>
      <c r="AE928" t="n">
        <v>17</v>
      </c>
      <c r="AF928" t="n">
        <v>1</v>
      </c>
      <c r="AG928" t="n">
        <v>4</v>
      </c>
      <c r="AH928" t="n">
        <v>3</v>
      </c>
      <c r="AI928" t="n">
        <v>5</v>
      </c>
      <c r="AJ928" t="n">
        <v>4</v>
      </c>
      <c r="AK928" t="n">
        <v>9</v>
      </c>
      <c r="AL928" t="n">
        <v>2</v>
      </c>
      <c r="AM928" t="n">
        <v>4</v>
      </c>
      <c r="AN928" t="n">
        <v>0</v>
      </c>
      <c r="AO928" t="n">
        <v>0</v>
      </c>
      <c r="AP928" t="inlineStr">
        <is>
          <t>No</t>
        </is>
      </c>
      <c r="AQ928" t="inlineStr">
        <is>
          <t>No</t>
        </is>
      </c>
      <c r="AS928">
        <f>HYPERLINK("https://creighton-primo.hosted.exlibrisgroup.com/primo-explore/search?tab=default_tab&amp;search_scope=EVERYTHING&amp;vid=01CRU&amp;lang=en_US&amp;offset=0&amp;query=any,contains,991005039839702656","Catalog Record")</f>
        <v/>
      </c>
      <c r="AT928">
        <f>HYPERLINK("http://www.worldcat.org/oclc/6789168","WorldCat Record")</f>
        <v/>
      </c>
      <c r="AU928" t="inlineStr">
        <is>
          <t>5218775534:eng</t>
        </is>
      </c>
      <c r="AV928" t="inlineStr">
        <is>
          <t>6789168</t>
        </is>
      </c>
      <c r="AW928" t="inlineStr">
        <is>
          <t>991005039839702656</t>
        </is>
      </c>
      <c r="AX928" t="inlineStr">
        <is>
          <t>991005039839702656</t>
        </is>
      </c>
      <c r="AY928" t="inlineStr">
        <is>
          <t>2263856510002656</t>
        </is>
      </c>
      <c r="AZ928" t="inlineStr">
        <is>
          <t>BOOK</t>
        </is>
      </c>
      <c r="BB928" t="inlineStr">
        <is>
          <t>9780134916057</t>
        </is>
      </c>
      <c r="BC928" t="inlineStr">
        <is>
          <t>32285001601409</t>
        </is>
      </c>
      <c r="BD928" t="inlineStr">
        <is>
          <t>893883247</t>
        </is>
      </c>
    </row>
    <row r="929">
      <c r="A929" t="inlineStr">
        <is>
          <t>No</t>
        </is>
      </c>
      <c r="B929" t="inlineStr">
        <is>
          <t>BF698 .D517</t>
        </is>
      </c>
      <c r="C929" t="inlineStr">
        <is>
          <t>0                      BF 0698000D  517</t>
        </is>
      </c>
      <c r="D929" t="inlineStr">
        <is>
          <t>The good life : models for a healthy personality / Nicholas S. DiCaprio.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DiCaprio, Nicholas S.</t>
        </is>
      </c>
      <c r="L929" t="inlineStr">
        <is>
          <t>Englewood Cliffs, N.J. : Prentice-Hall, c1976.</t>
        </is>
      </c>
      <c r="M929" t="inlineStr">
        <is>
          <t>1976</t>
        </is>
      </c>
      <c r="O929" t="inlineStr">
        <is>
          <t>eng</t>
        </is>
      </c>
      <c r="P929" t="inlineStr">
        <is>
          <t>nju</t>
        </is>
      </c>
      <c r="Q929" t="inlineStr">
        <is>
          <t>A Spectrum book, S-411</t>
        </is>
      </c>
      <c r="R929" t="inlineStr">
        <is>
          <t xml:space="preserve">BF </t>
        </is>
      </c>
      <c r="S929" t="n">
        <v>4</v>
      </c>
      <c r="T929" t="n">
        <v>4</v>
      </c>
      <c r="U929" t="inlineStr">
        <is>
          <t>2004-01-15</t>
        </is>
      </c>
      <c r="V929" t="inlineStr">
        <is>
          <t>2004-01-15</t>
        </is>
      </c>
      <c r="W929" t="inlineStr">
        <is>
          <t>1991-09-10</t>
        </is>
      </c>
      <c r="X929" t="inlineStr">
        <is>
          <t>1991-09-10</t>
        </is>
      </c>
      <c r="Y929" t="n">
        <v>208</v>
      </c>
      <c r="Z929" t="n">
        <v>180</v>
      </c>
      <c r="AA929" t="n">
        <v>181</v>
      </c>
      <c r="AB929" t="n">
        <v>2</v>
      </c>
      <c r="AC929" t="n">
        <v>2</v>
      </c>
      <c r="AD929" t="n">
        <v>6</v>
      </c>
      <c r="AE929" t="n">
        <v>6</v>
      </c>
      <c r="AF929" t="n">
        <v>2</v>
      </c>
      <c r="AG929" t="n">
        <v>2</v>
      </c>
      <c r="AH929" t="n">
        <v>1</v>
      </c>
      <c r="AI929" t="n">
        <v>1</v>
      </c>
      <c r="AJ929" t="n">
        <v>3</v>
      </c>
      <c r="AK929" t="n">
        <v>3</v>
      </c>
      <c r="AL929" t="n">
        <v>1</v>
      </c>
      <c r="AM929" t="n">
        <v>1</v>
      </c>
      <c r="AN929" t="n">
        <v>0</v>
      </c>
      <c r="AO929" t="n">
        <v>0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HYPERLINK("http://catalog.hathitrust.org/Record/007113674","HathiTrust Record")</f>
        <v/>
      </c>
      <c r="AS929">
        <f>HYPERLINK("https://creighton-primo.hosted.exlibrisgroup.com/primo-explore/search?tab=default_tab&amp;search_scope=EVERYTHING&amp;vid=01CRU&amp;lang=en_US&amp;offset=0&amp;query=any,contains,991004084969702656","Catalog Record")</f>
        <v/>
      </c>
      <c r="AT929">
        <f>HYPERLINK("http://www.worldcat.org/oclc/2331838","WorldCat Record")</f>
        <v/>
      </c>
      <c r="AU929" t="inlineStr">
        <is>
          <t>1175494147:eng</t>
        </is>
      </c>
      <c r="AV929" t="inlineStr">
        <is>
          <t>2331838</t>
        </is>
      </c>
      <c r="AW929" t="inlineStr">
        <is>
          <t>991004084969702656</t>
        </is>
      </c>
      <c r="AX929" t="inlineStr">
        <is>
          <t>991004084969702656</t>
        </is>
      </c>
      <c r="AY929" t="inlineStr">
        <is>
          <t>2264142380002656</t>
        </is>
      </c>
      <c r="AZ929" t="inlineStr">
        <is>
          <t>BOOK</t>
        </is>
      </c>
      <c r="BB929" t="inlineStr">
        <is>
          <t>9780133603965</t>
        </is>
      </c>
      <c r="BC929" t="inlineStr">
        <is>
          <t>32285000736115</t>
        </is>
      </c>
      <c r="BD929" t="inlineStr">
        <is>
          <t>893722258</t>
        </is>
      </c>
    </row>
    <row r="930">
      <c r="A930" t="inlineStr">
        <is>
          <t>No</t>
        </is>
      </c>
      <c r="B930" t="inlineStr">
        <is>
          <t>BF698 .D52</t>
        </is>
      </c>
      <c r="C930" t="inlineStr">
        <is>
          <t>0                      BF 0698000D  52</t>
        </is>
      </c>
      <c r="D930" t="inlineStr">
        <is>
          <t>Personality theories : guides to living / [by] Nicholas S. DiCaprio.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DiCaprio, Nicholas S.</t>
        </is>
      </c>
      <c r="L930" t="inlineStr">
        <is>
          <t>Philadelphia : Saunders, 1974.</t>
        </is>
      </c>
      <c r="M930" t="inlineStr">
        <is>
          <t>1974</t>
        </is>
      </c>
      <c r="O930" t="inlineStr">
        <is>
          <t>eng</t>
        </is>
      </c>
      <c r="P930" t="inlineStr">
        <is>
          <t>pau</t>
        </is>
      </c>
      <c r="R930" t="inlineStr">
        <is>
          <t xml:space="preserve">BF </t>
        </is>
      </c>
      <c r="S930" t="n">
        <v>4</v>
      </c>
      <c r="T930" t="n">
        <v>4</v>
      </c>
      <c r="U930" t="inlineStr">
        <is>
          <t>2007-02-16</t>
        </is>
      </c>
      <c r="V930" t="inlineStr">
        <is>
          <t>2007-02-16</t>
        </is>
      </c>
      <c r="W930" t="inlineStr">
        <is>
          <t>1992-11-04</t>
        </is>
      </c>
      <c r="X930" t="inlineStr">
        <is>
          <t>1992-11-04</t>
        </is>
      </c>
      <c r="Y930" t="n">
        <v>319</v>
      </c>
      <c r="Z930" t="n">
        <v>259</v>
      </c>
      <c r="AA930" t="n">
        <v>275</v>
      </c>
      <c r="AB930" t="n">
        <v>2</v>
      </c>
      <c r="AC930" t="n">
        <v>2</v>
      </c>
      <c r="AD930" t="n">
        <v>18</v>
      </c>
      <c r="AE930" t="n">
        <v>20</v>
      </c>
      <c r="AF930" t="n">
        <v>7</v>
      </c>
      <c r="AG930" t="n">
        <v>8</v>
      </c>
      <c r="AH930" t="n">
        <v>4</v>
      </c>
      <c r="AI930" t="n">
        <v>5</v>
      </c>
      <c r="AJ930" t="n">
        <v>11</v>
      </c>
      <c r="AK930" t="n">
        <v>11</v>
      </c>
      <c r="AL930" t="n">
        <v>1</v>
      </c>
      <c r="AM930" t="n">
        <v>1</v>
      </c>
      <c r="AN930" t="n">
        <v>0</v>
      </c>
      <c r="AO930" t="n">
        <v>0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HYPERLINK("http://catalog.hathitrust.org/Record/007473989","HathiTrust Record")</f>
        <v/>
      </c>
      <c r="AS930">
        <f>HYPERLINK("https://creighton-primo.hosted.exlibrisgroup.com/primo-explore/search?tab=default_tab&amp;search_scope=EVERYTHING&amp;vid=01CRU&amp;lang=en_US&amp;offset=0&amp;query=any,contains,991003367199702656","Catalog Record")</f>
        <v/>
      </c>
      <c r="AT930">
        <f>HYPERLINK("http://www.worldcat.org/oclc/902550","WorldCat Record")</f>
        <v/>
      </c>
      <c r="AU930" t="inlineStr">
        <is>
          <t>3901040357:eng</t>
        </is>
      </c>
      <c r="AV930" t="inlineStr">
        <is>
          <t>902550</t>
        </is>
      </c>
      <c r="AW930" t="inlineStr">
        <is>
          <t>991003367199702656</t>
        </is>
      </c>
      <c r="AX930" t="inlineStr">
        <is>
          <t>991003367199702656</t>
        </is>
      </c>
      <c r="AY930" t="inlineStr">
        <is>
          <t>2262644280002656</t>
        </is>
      </c>
      <c r="AZ930" t="inlineStr">
        <is>
          <t>BOOK</t>
        </is>
      </c>
      <c r="BB930" t="inlineStr">
        <is>
          <t>9780721630557</t>
        </is>
      </c>
      <c r="BC930" t="inlineStr">
        <is>
          <t>32285001380673</t>
        </is>
      </c>
      <c r="BD930" t="inlineStr">
        <is>
          <t>893535450</t>
        </is>
      </c>
    </row>
    <row r="931">
      <c r="A931" t="inlineStr">
        <is>
          <t>No</t>
        </is>
      </c>
      <c r="B931" t="inlineStr">
        <is>
          <t>BF698 .D54</t>
        </is>
      </c>
      <c r="C931" t="inlineStr">
        <is>
          <t>0                      BF 0698000D  54</t>
        </is>
      </c>
      <c r="D931" t="inlineStr">
        <is>
          <t>The human personality / Dean Diggins, Jack Huber.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Diggins, Dean.</t>
        </is>
      </c>
      <c r="L931" t="inlineStr">
        <is>
          <t>Boston : Little, Brown, c1976.</t>
        </is>
      </c>
      <c r="M931" t="inlineStr">
        <is>
          <t>1976</t>
        </is>
      </c>
      <c r="O931" t="inlineStr">
        <is>
          <t>eng</t>
        </is>
      </c>
      <c r="P931" t="inlineStr">
        <is>
          <t>mau</t>
        </is>
      </c>
      <c r="R931" t="inlineStr">
        <is>
          <t xml:space="preserve">BF </t>
        </is>
      </c>
      <c r="S931" t="n">
        <v>3</v>
      </c>
      <c r="T931" t="n">
        <v>3</v>
      </c>
      <c r="U931" t="inlineStr">
        <is>
          <t>1995-10-05</t>
        </is>
      </c>
      <c r="V931" t="inlineStr">
        <is>
          <t>1995-10-05</t>
        </is>
      </c>
      <c r="W931" t="inlineStr">
        <is>
          <t>1992-05-07</t>
        </is>
      </c>
      <c r="X931" t="inlineStr">
        <is>
          <t>1992-05-07</t>
        </is>
      </c>
      <c r="Y931" t="n">
        <v>121</v>
      </c>
      <c r="Z931" t="n">
        <v>95</v>
      </c>
      <c r="AA931" t="n">
        <v>95</v>
      </c>
      <c r="AB931" t="n">
        <v>2</v>
      </c>
      <c r="AC931" t="n">
        <v>2</v>
      </c>
      <c r="AD931" t="n">
        <v>4</v>
      </c>
      <c r="AE931" t="n">
        <v>4</v>
      </c>
      <c r="AF931" t="n">
        <v>1</v>
      </c>
      <c r="AG931" t="n">
        <v>1</v>
      </c>
      <c r="AH931" t="n">
        <v>1</v>
      </c>
      <c r="AI931" t="n">
        <v>1</v>
      </c>
      <c r="AJ931" t="n">
        <v>3</v>
      </c>
      <c r="AK931" t="n">
        <v>3</v>
      </c>
      <c r="AL931" t="n">
        <v>1</v>
      </c>
      <c r="AM931" t="n">
        <v>1</v>
      </c>
      <c r="AN931" t="n">
        <v>0</v>
      </c>
      <c r="AO931" t="n">
        <v>0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HYPERLINK("https://creighton-primo.hosted.exlibrisgroup.com/primo-explore/search?tab=default_tab&amp;search_scope=EVERYTHING&amp;vid=01CRU&amp;lang=en_US&amp;offset=0&amp;query=any,contains,991004032759702656","Catalog Record")</f>
        <v/>
      </c>
      <c r="AT931">
        <f>HYPERLINK("http://www.worldcat.org/oclc/2160961","WorldCat Record")</f>
        <v/>
      </c>
      <c r="AU931" t="inlineStr">
        <is>
          <t>3934066:eng</t>
        </is>
      </c>
      <c r="AV931" t="inlineStr">
        <is>
          <t>2160961</t>
        </is>
      </c>
      <c r="AW931" t="inlineStr">
        <is>
          <t>991004032759702656</t>
        </is>
      </c>
      <c r="AX931" t="inlineStr">
        <is>
          <t>991004032759702656</t>
        </is>
      </c>
      <c r="AY931" t="inlineStr">
        <is>
          <t>2262620900002656</t>
        </is>
      </c>
      <c r="AZ931" t="inlineStr">
        <is>
          <t>BOOK</t>
        </is>
      </c>
      <c r="BC931" t="inlineStr">
        <is>
          <t>32285001094027</t>
        </is>
      </c>
      <c r="BD931" t="inlineStr">
        <is>
          <t>893525554</t>
        </is>
      </c>
    </row>
    <row r="932">
      <c r="A932" t="inlineStr">
        <is>
          <t>No</t>
        </is>
      </c>
      <c r="B932" t="inlineStr">
        <is>
          <t>BF698 .D56</t>
        </is>
      </c>
      <c r="C932" t="inlineStr">
        <is>
          <t>0                      BF 0698000D  56</t>
        </is>
      </c>
      <c r="D932" t="inlineStr">
        <is>
          <t>Dimensions of personality / edited by Harvey London, John E. Exner, Jr.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L932" t="inlineStr">
        <is>
          <t>New York : Wiley, c1978.</t>
        </is>
      </c>
      <c r="M932" t="inlineStr">
        <is>
          <t>1978</t>
        </is>
      </c>
      <c r="O932" t="inlineStr">
        <is>
          <t>eng</t>
        </is>
      </c>
      <c r="P932" t="inlineStr">
        <is>
          <t>nyu</t>
        </is>
      </c>
      <c r="Q932" t="inlineStr">
        <is>
          <t>Wiley series on personality processes</t>
        </is>
      </c>
      <c r="R932" t="inlineStr">
        <is>
          <t xml:space="preserve">BF </t>
        </is>
      </c>
      <c r="S932" t="n">
        <v>5</v>
      </c>
      <c r="T932" t="n">
        <v>5</v>
      </c>
      <c r="U932" t="inlineStr">
        <is>
          <t>2007-04-11</t>
        </is>
      </c>
      <c r="V932" t="inlineStr">
        <is>
          <t>2007-04-11</t>
        </is>
      </c>
      <c r="W932" t="inlineStr">
        <is>
          <t>1992-02-25</t>
        </is>
      </c>
      <c r="X932" t="inlineStr">
        <is>
          <t>1992-02-25</t>
        </is>
      </c>
      <c r="Y932" t="n">
        <v>405</v>
      </c>
      <c r="Z932" t="n">
        <v>271</v>
      </c>
      <c r="AA932" t="n">
        <v>279</v>
      </c>
      <c r="AB932" t="n">
        <v>3</v>
      </c>
      <c r="AC932" t="n">
        <v>3</v>
      </c>
      <c r="AD932" t="n">
        <v>8</v>
      </c>
      <c r="AE932" t="n">
        <v>8</v>
      </c>
      <c r="AF932" t="n">
        <v>0</v>
      </c>
      <c r="AG932" t="n">
        <v>0</v>
      </c>
      <c r="AH932" t="n">
        <v>3</v>
      </c>
      <c r="AI932" t="n">
        <v>3</v>
      </c>
      <c r="AJ932" t="n">
        <v>5</v>
      </c>
      <c r="AK932" t="n">
        <v>5</v>
      </c>
      <c r="AL932" t="n">
        <v>1</v>
      </c>
      <c r="AM932" t="n">
        <v>1</v>
      </c>
      <c r="AN932" t="n">
        <v>1</v>
      </c>
      <c r="AO932" t="n">
        <v>1</v>
      </c>
      <c r="AP932" t="inlineStr">
        <is>
          <t>No</t>
        </is>
      </c>
      <c r="AQ932" t="inlineStr">
        <is>
          <t>No</t>
        </is>
      </c>
      <c r="AS932">
        <f>HYPERLINK("https://creighton-primo.hosted.exlibrisgroup.com/primo-explore/search?tab=default_tab&amp;search_scope=EVERYTHING&amp;vid=01CRU&amp;lang=en_US&amp;offset=0&amp;query=any,contains,991004445199702656","Catalog Record")</f>
        <v/>
      </c>
      <c r="AT932">
        <f>HYPERLINK("http://www.worldcat.org/oclc/3481179","WorldCat Record")</f>
        <v/>
      </c>
      <c r="AU932" t="inlineStr">
        <is>
          <t>3943997799:eng</t>
        </is>
      </c>
      <c r="AV932" t="inlineStr">
        <is>
          <t>3481179</t>
        </is>
      </c>
      <c r="AW932" t="inlineStr">
        <is>
          <t>991004445199702656</t>
        </is>
      </c>
      <c r="AX932" t="inlineStr">
        <is>
          <t>991004445199702656</t>
        </is>
      </c>
      <c r="AY932" t="inlineStr">
        <is>
          <t>2264442200002656</t>
        </is>
      </c>
      <c r="AZ932" t="inlineStr">
        <is>
          <t>BOOK</t>
        </is>
      </c>
      <c r="BB932" t="inlineStr">
        <is>
          <t>9780471543923</t>
        </is>
      </c>
      <c r="BC932" t="inlineStr">
        <is>
          <t>32285000982347</t>
        </is>
      </c>
      <c r="BD932" t="inlineStr">
        <is>
          <t>893325393</t>
        </is>
      </c>
    </row>
    <row r="933">
      <c r="A933" t="inlineStr">
        <is>
          <t>No</t>
        </is>
      </c>
      <c r="B933" t="inlineStr">
        <is>
          <t>BF698 .F74</t>
        </is>
      </c>
      <c r="C933" t="inlineStr">
        <is>
          <t>0                      BF 0698000F  74</t>
        </is>
      </c>
      <c r="D933" t="inlineStr">
        <is>
          <t>Humanistic psychology : interviews with Maslow, Murphy, and Rogers / [by] Willard B. Frick.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Yes</t>
        </is>
      </c>
      <c r="J933" t="inlineStr">
        <is>
          <t>0</t>
        </is>
      </c>
      <c r="K933" t="inlineStr">
        <is>
          <t>Frick, Willard B.</t>
        </is>
      </c>
      <c r="L933" t="inlineStr">
        <is>
          <t>Columbus, Ohio : Merrill, [1971]</t>
        </is>
      </c>
      <c r="M933" t="inlineStr">
        <is>
          <t>1971</t>
        </is>
      </c>
      <c r="O933" t="inlineStr">
        <is>
          <t>eng</t>
        </is>
      </c>
      <c r="P933" t="inlineStr">
        <is>
          <t>ohu</t>
        </is>
      </c>
      <c r="Q933" t="inlineStr">
        <is>
          <t>Studies of the person</t>
        </is>
      </c>
      <c r="R933" t="inlineStr">
        <is>
          <t xml:space="preserve">BF </t>
        </is>
      </c>
      <c r="S933" t="n">
        <v>7</v>
      </c>
      <c r="T933" t="n">
        <v>7</v>
      </c>
      <c r="U933" t="inlineStr">
        <is>
          <t>1996-09-05</t>
        </is>
      </c>
      <c r="V933" t="inlineStr">
        <is>
          <t>1996-09-05</t>
        </is>
      </c>
      <c r="W933" t="inlineStr">
        <is>
          <t>1993-06-17</t>
        </is>
      </c>
      <c r="X933" t="inlineStr">
        <is>
          <t>1993-06-17</t>
        </is>
      </c>
      <c r="Y933" t="n">
        <v>346</v>
      </c>
      <c r="Z933" t="n">
        <v>265</v>
      </c>
      <c r="AA933" t="n">
        <v>362</v>
      </c>
      <c r="AB933" t="n">
        <v>2</v>
      </c>
      <c r="AC933" t="n">
        <v>2</v>
      </c>
      <c r="AD933" t="n">
        <v>7</v>
      </c>
      <c r="AE933" t="n">
        <v>10</v>
      </c>
      <c r="AF933" t="n">
        <v>3</v>
      </c>
      <c r="AG933" t="n">
        <v>4</v>
      </c>
      <c r="AH933" t="n">
        <v>2</v>
      </c>
      <c r="AI933" t="n">
        <v>4</v>
      </c>
      <c r="AJ933" t="n">
        <v>3</v>
      </c>
      <c r="AK933" t="n">
        <v>4</v>
      </c>
      <c r="AL933" t="n">
        <v>1</v>
      </c>
      <c r="AM933" t="n">
        <v>1</v>
      </c>
      <c r="AN933" t="n">
        <v>0</v>
      </c>
      <c r="AO933" t="n">
        <v>0</v>
      </c>
      <c r="AP933" t="inlineStr">
        <is>
          <t>No</t>
        </is>
      </c>
      <c r="AQ933" t="inlineStr">
        <is>
          <t>Yes</t>
        </is>
      </c>
      <c r="AR933">
        <f>HYPERLINK("http://catalog.hathitrust.org/Record/000427016","HathiTrust Record")</f>
        <v/>
      </c>
      <c r="AS933">
        <f>HYPERLINK("https://creighton-primo.hosted.exlibrisgroup.com/primo-explore/search?tab=default_tab&amp;search_scope=EVERYTHING&amp;vid=01CRU&amp;lang=en_US&amp;offset=0&amp;query=any,contains,991001221219702656","Catalog Record")</f>
        <v/>
      </c>
      <c r="AT933">
        <f>HYPERLINK("http://www.worldcat.org/oclc/196823","WorldCat Record")</f>
        <v/>
      </c>
      <c r="AU933" t="inlineStr">
        <is>
          <t>1369356:eng</t>
        </is>
      </c>
      <c r="AV933" t="inlineStr">
        <is>
          <t>196823</t>
        </is>
      </c>
      <c r="AW933" t="inlineStr">
        <is>
          <t>991001221219702656</t>
        </is>
      </c>
      <c r="AX933" t="inlineStr">
        <is>
          <t>991001221219702656</t>
        </is>
      </c>
      <c r="AY933" t="inlineStr">
        <is>
          <t>2270157850002656</t>
        </is>
      </c>
      <c r="AZ933" t="inlineStr">
        <is>
          <t>BOOK</t>
        </is>
      </c>
      <c r="BB933" t="inlineStr">
        <is>
          <t>9780675099660</t>
        </is>
      </c>
      <c r="BC933" t="inlineStr">
        <is>
          <t>32285001696789</t>
        </is>
      </c>
      <c r="BD933" t="inlineStr">
        <is>
          <t>893903342</t>
        </is>
      </c>
    </row>
    <row r="934">
      <c r="A934" t="inlineStr">
        <is>
          <t>No</t>
        </is>
      </c>
      <c r="B934" t="inlineStr">
        <is>
          <t>BF698 .G38</t>
        </is>
      </c>
      <c r="C934" t="inlineStr">
        <is>
          <t>0                      BF 0698000G  38</t>
        </is>
      </c>
      <c r="D934" t="inlineStr">
        <is>
          <t>Personality : the skein of behavior / Russell G. Geen.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Geen, Russell G., 1932-</t>
        </is>
      </c>
      <c r="L934" t="inlineStr">
        <is>
          <t>Saint Louis : Mosby, 1976.</t>
        </is>
      </c>
      <c r="M934" t="inlineStr">
        <is>
          <t>1976</t>
        </is>
      </c>
      <c r="O934" t="inlineStr">
        <is>
          <t>eng</t>
        </is>
      </c>
      <c r="P934" t="inlineStr">
        <is>
          <t>mou</t>
        </is>
      </c>
      <c r="R934" t="inlineStr">
        <is>
          <t xml:space="preserve">BF </t>
        </is>
      </c>
      <c r="S934" t="n">
        <v>3</v>
      </c>
      <c r="T934" t="n">
        <v>3</v>
      </c>
      <c r="U934" t="inlineStr">
        <is>
          <t>2001-10-02</t>
        </is>
      </c>
      <c r="V934" t="inlineStr">
        <is>
          <t>2001-10-02</t>
        </is>
      </c>
      <c r="W934" t="inlineStr">
        <is>
          <t>1993-02-11</t>
        </is>
      </c>
      <c r="X934" t="inlineStr">
        <is>
          <t>1993-02-11</t>
        </is>
      </c>
      <c r="Y934" t="n">
        <v>232</v>
      </c>
      <c r="Z934" t="n">
        <v>170</v>
      </c>
      <c r="AA934" t="n">
        <v>172</v>
      </c>
      <c r="AB934" t="n">
        <v>2</v>
      </c>
      <c r="AC934" t="n">
        <v>2</v>
      </c>
      <c r="AD934" t="n">
        <v>7</v>
      </c>
      <c r="AE934" t="n">
        <v>7</v>
      </c>
      <c r="AF934" t="n">
        <v>2</v>
      </c>
      <c r="AG934" t="n">
        <v>2</v>
      </c>
      <c r="AH934" t="n">
        <v>3</v>
      </c>
      <c r="AI934" t="n">
        <v>3</v>
      </c>
      <c r="AJ934" t="n">
        <v>3</v>
      </c>
      <c r="AK934" t="n">
        <v>3</v>
      </c>
      <c r="AL934" t="n">
        <v>1</v>
      </c>
      <c r="AM934" t="n">
        <v>1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HYPERLINK("http://catalog.hathitrust.org/Record/102465332","HathiTrust Record")</f>
        <v/>
      </c>
      <c r="AS934">
        <f>HYPERLINK("https://creighton-primo.hosted.exlibrisgroup.com/primo-explore/search?tab=default_tab&amp;search_scope=EVERYTHING&amp;vid=01CRU&amp;lang=en_US&amp;offset=0&amp;query=any,contains,991003636379702656","Catalog Record")</f>
        <v/>
      </c>
      <c r="AT934">
        <f>HYPERLINK("http://www.worldcat.org/oclc/1230568","WorldCat Record")</f>
        <v/>
      </c>
      <c r="AU934" t="inlineStr">
        <is>
          <t>308867565:eng</t>
        </is>
      </c>
      <c r="AV934" t="inlineStr">
        <is>
          <t>1230568</t>
        </is>
      </c>
      <c r="AW934" t="inlineStr">
        <is>
          <t>991003636379702656</t>
        </is>
      </c>
      <c r="AX934" t="inlineStr">
        <is>
          <t>991003636379702656</t>
        </is>
      </c>
      <c r="AY934" t="inlineStr">
        <is>
          <t>2258204460002656</t>
        </is>
      </c>
      <c r="AZ934" t="inlineStr">
        <is>
          <t>BOOK</t>
        </is>
      </c>
      <c r="BB934" t="inlineStr">
        <is>
          <t>9780801617942</t>
        </is>
      </c>
      <c r="BC934" t="inlineStr">
        <is>
          <t>32285001500692</t>
        </is>
      </c>
      <c r="BD934" t="inlineStr">
        <is>
          <t>893342785</t>
        </is>
      </c>
    </row>
    <row r="935">
      <c r="A935" t="inlineStr">
        <is>
          <t>No</t>
        </is>
      </c>
      <c r="B935" t="inlineStr">
        <is>
          <t>BF698 .H33 1978</t>
        </is>
      </c>
      <c r="C935" t="inlineStr">
        <is>
          <t>0                      BF 0698000H  33          1978</t>
        </is>
      </c>
      <c r="D935" t="inlineStr">
        <is>
          <t>Theories of personality / Calvin S. Hall, Gardner Lindzey.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Hall, Calvin S. (Calvin Springer), 1909-1985.</t>
        </is>
      </c>
      <c r="L935" t="inlineStr">
        <is>
          <t>New York : Wiley, c1978.</t>
        </is>
      </c>
      <c r="M935" t="inlineStr">
        <is>
          <t>1978</t>
        </is>
      </c>
      <c r="N935" t="inlineStr">
        <is>
          <t>3d ed.</t>
        </is>
      </c>
      <c r="O935" t="inlineStr">
        <is>
          <t>eng</t>
        </is>
      </c>
      <c r="P935" t="inlineStr">
        <is>
          <t>nyu</t>
        </is>
      </c>
      <c r="R935" t="inlineStr">
        <is>
          <t xml:space="preserve">BF </t>
        </is>
      </c>
      <c r="S935" t="n">
        <v>8</v>
      </c>
      <c r="T935" t="n">
        <v>8</v>
      </c>
      <c r="U935" t="inlineStr">
        <is>
          <t>2003-10-28</t>
        </is>
      </c>
      <c r="V935" t="inlineStr">
        <is>
          <t>2003-10-28</t>
        </is>
      </c>
      <c r="W935" t="inlineStr">
        <is>
          <t>1992-01-21</t>
        </is>
      </c>
      <c r="X935" t="inlineStr">
        <is>
          <t>1992-01-21</t>
        </is>
      </c>
      <c r="Y935" t="n">
        <v>838</v>
      </c>
      <c r="Z935" t="n">
        <v>619</v>
      </c>
      <c r="AA935" t="n">
        <v>1670</v>
      </c>
      <c r="AB935" t="n">
        <v>2</v>
      </c>
      <c r="AC935" t="n">
        <v>10</v>
      </c>
      <c r="AD935" t="n">
        <v>19</v>
      </c>
      <c r="AE935" t="n">
        <v>50</v>
      </c>
      <c r="AF935" t="n">
        <v>5</v>
      </c>
      <c r="AG935" t="n">
        <v>20</v>
      </c>
      <c r="AH935" t="n">
        <v>5</v>
      </c>
      <c r="AI935" t="n">
        <v>10</v>
      </c>
      <c r="AJ935" t="n">
        <v>10</v>
      </c>
      <c r="AK935" t="n">
        <v>24</v>
      </c>
      <c r="AL935" t="n">
        <v>1</v>
      </c>
      <c r="AM935" t="n">
        <v>6</v>
      </c>
      <c r="AN935" t="n">
        <v>0</v>
      </c>
      <c r="AO935" t="n">
        <v>1</v>
      </c>
      <c r="AP935" t="inlineStr">
        <is>
          <t>No</t>
        </is>
      </c>
      <c r="AQ935" t="inlineStr">
        <is>
          <t>No</t>
        </is>
      </c>
      <c r="AS935">
        <f>HYPERLINK("https://creighton-primo.hosted.exlibrisgroup.com/primo-explore/search?tab=default_tab&amp;search_scope=EVERYTHING&amp;vid=01CRU&amp;lang=en_US&amp;offset=0&amp;query=any,contains,991004452789702656","Catalog Record")</f>
        <v/>
      </c>
      <c r="AT935">
        <f>HYPERLINK("http://www.worldcat.org/oclc/3516523","WorldCat Record")</f>
        <v/>
      </c>
      <c r="AU935" t="inlineStr">
        <is>
          <t>4915232291:eng</t>
        </is>
      </c>
      <c r="AV935" t="inlineStr">
        <is>
          <t>3516523</t>
        </is>
      </c>
      <c r="AW935" t="inlineStr">
        <is>
          <t>991004452789702656</t>
        </is>
      </c>
      <c r="AX935" t="inlineStr">
        <is>
          <t>991004452789702656</t>
        </is>
      </c>
      <c r="AY935" t="inlineStr">
        <is>
          <t>2272483890002656</t>
        </is>
      </c>
      <c r="AZ935" t="inlineStr">
        <is>
          <t>BOOK</t>
        </is>
      </c>
      <c r="BB935" t="inlineStr">
        <is>
          <t>9780471342274</t>
        </is>
      </c>
      <c r="BC935" t="inlineStr">
        <is>
          <t>32285000916584</t>
        </is>
      </c>
      <c r="BD935" t="inlineStr">
        <is>
          <t>893500580</t>
        </is>
      </c>
    </row>
    <row r="936">
      <c r="A936" t="inlineStr">
        <is>
          <t>No</t>
        </is>
      </c>
      <c r="B936" t="inlineStr">
        <is>
          <t>BF698 .H334</t>
        </is>
      </c>
      <c r="C936" t="inlineStr">
        <is>
          <t>0                      BF 0698000H  334</t>
        </is>
      </c>
      <c r="D936" t="inlineStr">
        <is>
          <t>Handbook of modern personality theory / edited by Raymond B. Cattell, Ralph Mason Dreger.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L936" t="inlineStr">
        <is>
          <t>Washington : Hemisphere Pub. Corp. ; New York : Wiley : distributed solely by Halsted Press, c1977.</t>
        </is>
      </c>
      <c r="M936" t="inlineStr">
        <is>
          <t>1977</t>
        </is>
      </c>
      <c r="O936" t="inlineStr">
        <is>
          <t>eng</t>
        </is>
      </c>
      <c r="P936" t="inlineStr">
        <is>
          <t>dcu</t>
        </is>
      </c>
      <c r="Q936" t="inlineStr">
        <is>
          <t>The Series in clinical and community psychology</t>
        </is>
      </c>
      <c r="R936" t="inlineStr">
        <is>
          <t xml:space="preserve">BF </t>
        </is>
      </c>
      <c r="S936" t="n">
        <v>7</v>
      </c>
      <c r="T936" t="n">
        <v>7</v>
      </c>
      <c r="U936" t="inlineStr">
        <is>
          <t>2003-10-28</t>
        </is>
      </c>
      <c r="V936" t="inlineStr">
        <is>
          <t>2003-10-28</t>
        </is>
      </c>
      <c r="W936" t="inlineStr">
        <is>
          <t>1996-08-02</t>
        </is>
      </c>
      <c r="X936" t="inlineStr">
        <is>
          <t>1996-08-02</t>
        </is>
      </c>
      <c r="Y936" t="n">
        <v>636</v>
      </c>
      <c r="Z936" t="n">
        <v>465</v>
      </c>
      <c r="AA936" t="n">
        <v>475</v>
      </c>
      <c r="AB936" t="n">
        <v>4</v>
      </c>
      <c r="AC936" t="n">
        <v>4</v>
      </c>
      <c r="AD936" t="n">
        <v>23</v>
      </c>
      <c r="AE936" t="n">
        <v>23</v>
      </c>
      <c r="AF936" t="n">
        <v>7</v>
      </c>
      <c r="AG936" t="n">
        <v>7</v>
      </c>
      <c r="AH936" t="n">
        <v>5</v>
      </c>
      <c r="AI936" t="n">
        <v>5</v>
      </c>
      <c r="AJ936" t="n">
        <v>15</v>
      </c>
      <c r="AK936" t="n">
        <v>15</v>
      </c>
      <c r="AL936" t="n">
        <v>2</v>
      </c>
      <c r="AM936" t="n">
        <v>2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HYPERLINK("http://catalog.hathitrust.org/Record/000269492","HathiTrust Record")</f>
        <v/>
      </c>
      <c r="AS936">
        <f>HYPERLINK("https://creighton-primo.hosted.exlibrisgroup.com/primo-explore/search?tab=default_tab&amp;search_scope=EVERYTHING&amp;vid=01CRU&amp;lang=en_US&amp;offset=0&amp;query=any,contains,991004084609702656","Catalog Record")</f>
        <v/>
      </c>
      <c r="AT936">
        <f>HYPERLINK("http://www.worldcat.org/oclc/2331760","WorldCat Record")</f>
        <v/>
      </c>
      <c r="AU936" t="inlineStr">
        <is>
          <t>349930692:eng</t>
        </is>
      </c>
      <c r="AV936" t="inlineStr">
        <is>
          <t>2331760</t>
        </is>
      </c>
      <c r="AW936" t="inlineStr">
        <is>
          <t>991004084609702656</t>
        </is>
      </c>
      <c r="AX936" t="inlineStr">
        <is>
          <t>991004084609702656</t>
        </is>
      </c>
      <c r="AY936" t="inlineStr">
        <is>
          <t>2264251270002656</t>
        </is>
      </c>
      <c r="AZ936" t="inlineStr">
        <is>
          <t>BOOK</t>
        </is>
      </c>
      <c r="BB936" t="inlineStr">
        <is>
          <t>9780470152010</t>
        </is>
      </c>
      <c r="BC936" t="inlineStr">
        <is>
          <t>32285002253382</t>
        </is>
      </c>
      <c r="BD936" t="inlineStr">
        <is>
          <t>893240996</t>
        </is>
      </c>
    </row>
    <row r="937">
      <c r="A937" t="inlineStr">
        <is>
          <t>No</t>
        </is>
      </c>
      <c r="B937" t="inlineStr">
        <is>
          <t>BF698 .H49</t>
        </is>
      </c>
      <c r="C937" t="inlineStr">
        <is>
          <t>0                      BF 0698000H  49</t>
        </is>
      </c>
      <c r="D937" t="inlineStr">
        <is>
          <t>Personality theories : basic assumptions, research, and applications / Larry A. Hjelle, Daniel J. Ziegler.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Hjelle, Larry A.</t>
        </is>
      </c>
      <c r="L937" t="inlineStr">
        <is>
          <t>New York : McGraw-Hill, c1976.</t>
        </is>
      </c>
      <c r="M937" t="inlineStr">
        <is>
          <t>1976</t>
        </is>
      </c>
      <c r="O937" t="inlineStr">
        <is>
          <t>eng</t>
        </is>
      </c>
      <c r="P937" t="inlineStr">
        <is>
          <t>nyu</t>
        </is>
      </c>
      <c r="R937" t="inlineStr">
        <is>
          <t xml:space="preserve">BF </t>
        </is>
      </c>
      <c r="S937" t="n">
        <v>2</v>
      </c>
      <c r="T937" t="n">
        <v>2</v>
      </c>
      <c r="U937" t="inlineStr">
        <is>
          <t>2002-03-20</t>
        </is>
      </c>
      <c r="V937" t="inlineStr">
        <is>
          <t>2002-03-20</t>
        </is>
      </c>
      <c r="W937" t="inlineStr">
        <is>
          <t>1996-08-02</t>
        </is>
      </c>
      <c r="X937" t="inlineStr">
        <is>
          <t>1996-08-02</t>
        </is>
      </c>
      <c r="Y937" t="n">
        <v>394</v>
      </c>
      <c r="Z937" t="n">
        <v>265</v>
      </c>
      <c r="AA937" t="n">
        <v>438</v>
      </c>
      <c r="AB937" t="n">
        <v>2</v>
      </c>
      <c r="AC937" t="n">
        <v>3</v>
      </c>
      <c r="AD937" t="n">
        <v>6</v>
      </c>
      <c r="AE937" t="n">
        <v>18</v>
      </c>
      <c r="AF937" t="n">
        <v>3</v>
      </c>
      <c r="AG937" t="n">
        <v>8</v>
      </c>
      <c r="AH937" t="n">
        <v>1</v>
      </c>
      <c r="AI937" t="n">
        <v>4</v>
      </c>
      <c r="AJ937" t="n">
        <v>2</v>
      </c>
      <c r="AK937" t="n">
        <v>9</v>
      </c>
      <c r="AL937" t="n">
        <v>1</v>
      </c>
      <c r="AM937" t="n">
        <v>2</v>
      </c>
      <c r="AN937" t="n">
        <v>0</v>
      </c>
      <c r="AO937" t="n">
        <v>0</v>
      </c>
      <c r="AP937" t="inlineStr">
        <is>
          <t>No</t>
        </is>
      </c>
      <c r="AQ937" t="inlineStr">
        <is>
          <t>No</t>
        </is>
      </c>
      <c r="AS937">
        <f>HYPERLINK("https://creighton-primo.hosted.exlibrisgroup.com/primo-explore/search?tab=default_tab&amp;search_scope=EVERYTHING&amp;vid=01CRU&amp;lang=en_US&amp;offset=0&amp;query=any,contains,991003653229702656","Catalog Record")</f>
        <v/>
      </c>
      <c r="AT937">
        <f>HYPERLINK("http://www.worldcat.org/oclc/1256893","WorldCat Record")</f>
        <v/>
      </c>
      <c r="AU937" t="inlineStr">
        <is>
          <t>2176038:eng</t>
        </is>
      </c>
      <c r="AV937" t="inlineStr">
        <is>
          <t>1256893</t>
        </is>
      </c>
      <c r="AW937" t="inlineStr">
        <is>
          <t>991003653229702656</t>
        </is>
      </c>
      <c r="AX937" t="inlineStr">
        <is>
          <t>991003653229702656</t>
        </is>
      </c>
      <c r="AY937" t="inlineStr">
        <is>
          <t>2257978050002656</t>
        </is>
      </c>
      <c r="AZ937" t="inlineStr">
        <is>
          <t>BOOK</t>
        </is>
      </c>
      <c r="BB937" t="inlineStr">
        <is>
          <t>9780070290617</t>
        </is>
      </c>
      <c r="BC937" t="inlineStr">
        <is>
          <t>32285002253424</t>
        </is>
      </c>
      <c r="BD937" t="inlineStr">
        <is>
          <t>893806038</t>
        </is>
      </c>
    </row>
    <row r="938">
      <c r="A938" t="inlineStr">
        <is>
          <t>No</t>
        </is>
      </c>
      <c r="B938" t="inlineStr">
        <is>
          <t>BF698 .J636 1971</t>
        </is>
      </c>
      <c r="C938" t="inlineStr">
        <is>
          <t>0                      BF 0698000J  636         1971</t>
        </is>
      </c>
      <c r="D938" t="inlineStr">
        <is>
          <t>Self-disclosure; an experimental analysis of the transparent self [by] Sidney M. Jourard.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K938" t="inlineStr">
        <is>
          <t>Jourard, Sidney M.</t>
        </is>
      </c>
      <c r="L938" t="inlineStr">
        <is>
          <t>New York, Wiley-Interscience [1971]</t>
        </is>
      </c>
      <c r="M938" t="inlineStr">
        <is>
          <t>1971</t>
        </is>
      </c>
      <c r="O938" t="inlineStr">
        <is>
          <t>eng</t>
        </is>
      </c>
      <c r="P938" t="inlineStr">
        <is>
          <t>nyu</t>
        </is>
      </c>
      <c r="R938" t="inlineStr">
        <is>
          <t xml:space="preserve">BF </t>
        </is>
      </c>
      <c r="S938" t="n">
        <v>4</v>
      </c>
      <c r="T938" t="n">
        <v>4</v>
      </c>
      <c r="U938" t="inlineStr">
        <is>
          <t>2009-03-10</t>
        </is>
      </c>
      <c r="V938" t="inlineStr">
        <is>
          <t>2009-03-10</t>
        </is>
      </c>
      <c r="W938" t="inlineStr">
        <is>
          <t>1996-08-02</t>
        </is>
      </c>
      <c r="X938" t="inlineStr">
        <is>
          <t>1996-08-02</t>
        </is>
      </c>
      <c r="Y938" t="n">
        <v>963</v>
      </c>
      <c r="Z938" t="n">
        <v>802</v>
      </c>
      <c r="AA938" t="n">
        <v>887</v>
      </c>
      <c r="AB938" t="n">
        <v>5</v>
      </c>
      <c r="AC938" t="n">
        <v>5</v>
      </c>
      <c r="AD938" t="n">
        <v>36</v>
      </c>
      <c r="AE938" t="n">
        <v>37</v>
      </c>
      <c r="AF938" t="n">
        <v>15</v>
      </c>
      <c r="AG938" t="n">
        <v>16</v>
      </c>
      <c r="AH938" t="n">
        <v>8</v>
      </c>
      <c r="AI938" t="n">
        <v>8</v>
      </c>
      <c r="AJ938" t="n">
        <v>20</v>
      </c>
      <c r="AK938" t="n">
        <v>20</v>
      </c>
      <c r="AL938" t="n">
        <v>4</v>
      </c>
      <c r="AM938" t="n">
        <v>4</v>
      </c>
      <c r="AN938" t="n">
        <v>0</v>
      </c>
      <c r="AO938" t="n">
        <v>0</v>
      </c>
      <c r="AP938" t="inlineStr">
        <is>
          <t>No</t>
        </is>
      </c>
      <c r="AQ938" t="inlineStr">
        <is>
          <t>Yes</t>
        </is>
      </c>
      <c r="AR938">
        <f>HYPERLINK("http://catalog.hathitrust.org/Record/000312404","HathiTrust Record")</f>
        <v/>
      </c>
      <c r="AS938">
        <f>HYPERLINK("https://creighton-primo.hosted.exlibrisgroup.com/primo-explore/search?tab=default_tab&amp;search_scope=EVERYTHING&amp;vid=01CRU&amp;lang=en_US&amp;offset=0&amp;query=any,contains,991000795019702656","Catalog Record")</f>
        <v/>
      </c>
      <c r="AT938">
        <f>HYPERLINK("http://www.worldcat.org/oclc/136662","WorldCat Record")</f>
        <v/>
      </c>
      <c r="AU938" t="inlineStr">
        <is>
          <t>1287407:eng</t>
        </is>
      </c>
      <c r="AV938" t="inlineStr">
        <is>
          <t>136662</t>
        </is>
      </c>
      <c r="AW938" t="inlineStr">
        <is>
          <t>991000795019702656</t>
        </is>
      </c>
      <c r="AX938" t="inlineStr">
        <is>
          <t>991000795019702656</t>
        </is>
      </c>
      <c r="AY938" t="inlineStr">
        <is>
          <t>2263978420002656</t>
        </is>
      </c>
      <c r="AZ938" t="inlineStr">
        <is>
          <t>BOOK</t>
        </is>
      </c>
      <c r="BB938" t="inlineStr">
        <is>
          <t>9780471451501</t>
        </is>
      </c>
      <c r="BC938" t="inlineStr">
        <is>
          <t>32285002253465</t>
        </is>
      </c>
      <c r="BD938" t="inlineStr">
        <is>
          <t>893528390</t>
        </is>
      </c>
    </row>
    <row r="939">
      <c r="A939" t="inlineStr">
        <is>
          <t>No</t>
        </is>
      </c>
      <c r="B939" t="inlineStr">
        <is>
          <t>BF698 .L383</t>
        </is>
      </c>
      <c r="C939" t="inlineStr">
        <is>
          <t>0                      BF 0698000L  383</t>
        </is>
      </c>
      <c r="D939" t="inlineStr">
        <is>
          <t>Toward understanding human personalities [by] Robert Ward Leeper [and] Peter Madison.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K939" t="inlineStr">
        <is>
          <t>Leeper, Robert Ward, 1904-1986.</t>
        </is>
      </c>
      <c r="L939" t="inlineStr">
        <is>
          <t>New York, Appleton-Century-Crofts [1959]</t>
        </is>
      </c>
      <c r="M939" t="inlineStr">
        <is>
          <t>1959</t>
        </is>
      </c>
      <c r="O939" t="inlineStr">
        <is>
          <t>eng</t>
        </is>
      </c>
      <c r="P939" t="inlineStr">
        <is>
          <t>nyu</t>
        </is>
      </c>
      <c r="Q939" t="inlineStr">
        <is>
          <t>The Century psychology series</t>
        </is>
      </c>
      <c r="R939" t="inlineStr">
        <is>
          <t xml:space="preserve">BF </t>
        </is>
      </c>
      <c r="S939" t="n">
        <v>4</v>
      </c>
      <c r="T939" t="n">
        <v>4</v>
      </c>
      <c r="U939" t="inlineStr">
        <is>
          <t>2003-04-17</t>
        </is>
      </c>
      <c r="V939" t="inlineStr">
        <is>
          <t>2003-04-17</t>
        </is>
      </c>
      <c r="W939" t="inlineStr">
        <is>
          <t>1996-08-02</t>
        </is>
      </c>
      <c r="X939" t="inlineStr">
        <is>
          <t>1996-08-02</t>
        </is>
      </c>
      <c r="Y939" t="n">
        <v>553</v>
      </c>
      <c r="Z939" t="n">
        <v>480</v>
      </c>
      <c r="AA939" t="n">
        <v>555</v>
      </c>
      <c r="AB939" t="n">
        <v>7</v>
      </c>
      <c r="AC939" t="n">
        <v>8</v>
      </c>
      <c r="AD939" t="n">
        <v>28</v>
      </c>
      <c r="AE939" t="n">
        <v>31</v>
      </c>
      <c r="AF939" t="n">
        <v>10</v>
      </c>
      <c r="AG939" t="n">
        <v>12</v>
      </c>
      <c r="AH939" t="n">
        <v>5</v>
      </c>
      <c r="AI939" t="n">
        <v>5</v>
      </c>
      <c r="AJ939" t="n">
        <v>13</v>
      </c>
      <c r="AK939" t="n">
        <v>13</v>
      </c>
      <c r="AL939" t="n">
        <v>6</v>
      </c>
      <c r="AM939" t="n">
        <v>7</v>
      </c>
      <c r="AN939" t="n">
        <v>0</v>
      </c>
      <c r="AO939" t="n">
        <v>0</v>
      </c>
      <c r="AP939" t="inlineStr">
        <is>
          <t>Yes</t>
        </is>
      </c>
      <c r="AQ939" t="inlineStr">
        <is>
          <t>No</t>
        </is>
      </c>
      <c r="AR939">
        <f>HYPERLINK("http://catalog.hathitrust.org/Record/000426364","HathiTrust Record")</f>
        <v/>
      </c>
      <c r="AS939">
        <f>HYPERLINK("https://creighton-primo.hosted.exlibrisgroup.com/primo-explore/search?tab=default_tab&amp;search_scope=EVERYTHING&amp;vid=01CRU&amp;lang=en_US&amp;offset=0&amp;query=any,contains,991001370199702656","Catalog Record")</f>
        <v/>
      </c>
      <c r="AT939">
        <f>HYPERLINK("http://www.worldcat.org/oclc/223345","WorldCat Record")</f>
        <v/>
      </c>
      <c r="AU939" t="inlineStr">
        <is>
          <t>370087044:eng</t>
        </is>
      </c>
      <c r="AV939" t="inlineStr">
        <is>
          <t>223345</t>
        </is>
      </c>
      <c r="AW939" t="inlineStr">
        <is>
          <t>991001370199702656</t>
        </is>
      </c>
      <c r="AX939" t="inlineStr">
        <is>
          <t>991001370199702656</t>
        </is>
      </c>
      <c r="AY939" t="inlineStr">
        <is>
          <t>2264123800002656</t>
        </is>
      </c>
      <c r="AZ939" t="inlineStr">
        <is>
          <t>BOOK</t>
        </is>
      </c>
      <c r="BC939" t="inlineStr">
        <is>
          <t>32285002253549</t>
        </is>
      </c>
      <c r="BD939" t="inlineStr">
        <is>
          <t>893621285</t>
        </is>
      </c>
    </row>
    <row r="940">
      <c r="A940" t="inlineStr">
        <is>
          <t>No</t>
        </is>
      </c>
      <c r="B940" t="inlineStr">
        <is>
          <t>BF698 .L3985</t>
        </is>
      </c>
      <c r="C940" t="inlineStr">
        <is>
          <t>0                      BF 0698000L  3985</t>
        </is>
      </c>
      <c r="D940" t="inlineStr">
        <is>
          <t>Conceptions of personality; theories and research [by] Leon H. Levy.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Levy, Leon H.</t>
        </is>
      </c>
      <c r="L940" t="inlineStr">
        <is>
          <t>New York, Random House [1970]</t>
        </is>
      </c>
      <c r="M940" t="inlineStr">
        <is>
          <t>1970</t>
        </is>
      </c>
      <c r="O940" t="inlineStr">
        <is>
          <t>eng</t>
        </is>
      </c>
      <c r="P940" t="inlineStr">
        <is>
          <t>nyu</t>
        </is>
      </c>
      <c r="R940" t="inlineStr">
        <is>
          <t xml:space="preserve">BF </t>
        </is>
      </c>
      <c r="S940" t="n">
        <v>1</v>
      </c>
      <c r="T940" t="n">
        <v>1</v>
      </c>
      <c r="U940" t="inlineStr">
        <is>
          <t>2002-03-20</t>
        </is>
      </c>
      <c r="V940" t="inlineStr">
        <is>
          <t>2002-03-20</t>
        </is>
      </c>
      <c r="W940" t="inlineStr">
        <is>
          <t>1996-08-02</t>
        </is>
      </c>
      <c r="X940" t="inlineStr">
        <is>
          <t>1996-08-02</t>
        </is>
      </c>
      <c r="Y940" t="n">
        <v>410</v>
      </c>
      <c r="Z940" t="n">
        <v>305</v>
      </c>
      <c r="AA940" t="n">
        <v>312</v>
      </c>
      <c r="AB940" t="n">
        <v>2</v>
      </c>
      <c r="AC940" t="n">
        <v>2</v>
      </c>
      <c r="AD940" t="n">
        <v>15</v>
      </c>
      <c r="AE940" t="n">
        <v>15</v>
      </c>
      <c r="AF940" t="n">
        <v>6</v>
      </c>
      <c r="AG940" t="n">
        <v>6</v>
      </c>
      <c r="AH940" t="n">
        <v>6</v>
      </c>
      <c r="AI940" t="n">
        <v>6</v>
      </c>
      <c r="AJ940" t="n">
        <v>5</v>
      </c>
      <c r="AK940" t="n">
        <v>5</v>
      </c>
      <c r="AL940" t="n">
        <v>1</v>
      </c>
      <c r="AM940" t="n">
        <v>1</v>
      </c>
      <c r="AN940" t="n">
        <v>0</v>
      </c>
      <c r="AO940" t="n">
        <v>0</v>
      </c>
      <c r="AP940" t="inlineStr">
        <is>
          <t>No</t>
        </is>
      </c>
      <c r="AQ940" t="inlineStr">
        <is>
          <t>Yes</t>
        </is>
      </c>
      <c r="AR940">
        <f>HYPERLINK("http://catalog.hathitrust.org/Record/000427283","HathiTrust Record")</f>
        <v/>
      </c>
      <c r="AS940">
        <f>HYPERLINK("https://creighton-primo.hosted.exlibrisgroup.com/primo-explore/search?tab=default_tab&amp;search_scope=EVERYTHING&amp;vid=01CRU&amp;lang=en_US&amp;offset=0&amp;query=any,contains,991000561429702656","Catalog Record")</f>
        <v/>
      </c>
      <c r="AT940">
        <f>HYPERLINK("http://www.worldcat.org/oclc/93511","WorldCat Record")</f>
        <v/>
      </c>
      <c r="AU940" t="inlineStr">
        <is>
          <t>294106090:eng</t>
        </is>
      </c>
      <c r="AV940" t="inlineStr">
        <is>
          <t>93511</t>
        </is>
      </c>
      <c r="AW940" t="inlineStr">
        <is>
          <t>991000561429702656</t>
        </is>
      </c>
      <c r="AX940" t="inlineStr">
        <is>
          <t>991000561429702656</t>
        </is>
      </c>
      <c r="AY940" t="inlineStr">
        <is>
          <t>2263039360002656</t>
        </is>
      </c>
      <c r="AZ940" t="inlineStr">
        <is>
          <t>BOOK</t>
        </is>
      </c>
      <c r="BC940" t="inlineStr">
        <is>
          <t>32285002253556</t>
        </is>
      </c>
      <c r="BD940" t="inlineStr">
        <is>
          <t>893683538</t>
        </is>
      </c>
    </row>
    <row r="941">
      <c r="A941" t="inlineStr">
        <is>
          <t>No</t>
        </is>
      </c>
      <c r="B941" t="inlineStr">
        <is>
          <t>BF698 .L4</t>
        </is>
      </c>
      <c r="C941" t="inlineStr">
        <is>
          <t>0                      BF 0698000L  4</t>
        </is>
      </c>
      <c r="D941" t="inlineStr">
        <is>
          <t>A dynamic theory of personality; selected papers, by Kurt Lewin ... translated by Donald K. Adams ... and Karl E. Zener ...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K941" t="inlineStr">
        <is>
          <t>Lewin, Kurt, 1890-1947.</t>
        </is>
      </c>
      <c r="L941" t="inlineStr">
        <is>
          <t>New York, London, McGraw-Hill Book Company, inc., 1935.</t>
        </is>
      </c>
      <c r="M941" t="inlineStr">
        <is>
          <t>1935</t>
        </is>
      </c>
      <c r="N941" t="inlineStr">
        <is>
          <t>1st ed.</t>
        </is>
      </c>
      <c r="O941" t="inlineStr">
        <is>
          <t>eng</t>
        </is>
      </c>
      <c r="P941" t="inlineStr">
        <is>
          <t>nyu</t>
        </is>
      </c>
      <c r="Q941" t="inlineStr">
        <is>
          <t>McGraw-Hill publications in psychology</t>
        </is>
      </c>
      <c r="R941" t="inlineStr">
        <is>
          <t xml:space="preserve">BF </t>
        </is>
      </c>
      <c r="S941" t="n">
        <v>8</v>
      </c>
      <c r="T941" t="n">
        <v>8</v>
      </c>
      <c r="U941" t="inlineStr">
        <is>
          <t>2009-05-27</t>
        </is>
      </c>
      <c r="V941" t="inlineStr">
        <is>
          <t>2009-05-27</t>
        </is>
      </c>
      <c r="W941" t="inlineStr">
        <is>
          <t>1996-08-02</t>
        </is>
      </c>
      <c r="X941" t="inlineStr">
        <is>
          <t>1996-08-02</t>
        </is>
      </c>
      <c r="Y941" t="n">
        <v>1134</v>
      </c>
      <c r="Z941" t="n">
        <v>939</v>
      </c>
      <c r="AA941" t="n">
        <v>1082</v>
      </c>
      <c r="AB941" t="n">
        <v>6</v>
      </c>
      <c r="AC941" t="n">
        <v>7</v>
      </c>
      <c r="AD941" t="n">
        <v>44</v>
      </c>
      <c r="AE941" t="n">
        <v>47</v>
      </c>
      <c r="AF941" t="n">
        <v>23</v>
      </c>
      <c r="AG941" t="n">
        <v>23</v>
      </c>
      <c r="AH941" t="n">
        <v>6</v>
      </c>
      <c r="AI941" t="n">
        <v>7</v>
      </c>
      <c r="AJ941" t="n">
        <v>20</v>
      </c>
      <c r="AK941" t="n">
        <v>22</v>
      </c>
      <c r="AL941" t="n">
        <v>3</v>
      </c>
      <c r="AM941" t="n">
        <v>4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HYPERLINK("http://catalog.hathitrust.org/Record/000003553","HathiTrust Record")</f>
        <v/>
      </c>
      <c r="AS941">
        <f>HYPERLINK("https://creighton-primo.hosted.exlibrisgroup.com/primo-explore/search?tab=default_tab&amp;search_scope=EVERYTHING&amp;vid=01CRU&amp;lang=en_US&amp;offset=0&amp;query=any,contains,991005371539702656","Catalog Record")</f>
        <v/>
      </c>
      <c r="AT941">
        <f>HYPERLINK("http://www.worldcat.org/oclc/3787733","WorldCat Record")</f>
        <v/>
      </c>
      <c r="AU941" t="inlineStr">
        <is>
          <t>10048499:eng</t>
        </is>
      </c>
      <c r="AV941" t="inlineStr">
        <is>
          <t>3787733</t>
        </is>
      </c>
      <c r="AW941" t="inlineStr">
        <is>
          <t>991005371539702656</t>
        </is>
      </c>
      <c r="AX941" t="inlineStr">
        <is>
          <t>991005371539702656</t>
        </is>
      </c>
      <c r="AY941" t="inlineStr">
        <is>
          <t>2255462200002656</t>
        </is>
      </c>
      <c r="AZ941" t="inlineStr">
        <is>
          <t>BOOK</t>
        </is>
      </c>
      <c r="BC941" t="inlineStr">
        <is>
          <t>32285002253564</t>
        </is>
      </c>
      <c r="BD941" t="inlineStr">
        <is>
          <t>893412760</t>
        </is>
      </c>
    </row>
    <row r="942">
      <c r="A942" t="inlineStr">
        <is>
          <t>No</t>
        </is>
      </c>
      <c r="B942" t="inlineStr">
        <is>
          <t>BF698 .M2367</t>
        </is>
      </c>
      <c r="C942" t="inlineStr">
        <is>
          <t>0                      BF 0698000M  2367</t>
        </is>
      </c>
      <c r="D942" t="inlineStr">
        <is>
          <t>Humanism in personology : Allport, Maslow, and Murray / [by] Salvatore R. Maddi [and] Paul T. Costa.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K942" t="inlineStr">
        <is>
          <t>Maddi, Salvatore R.</t>
        </is>
      </c>
      <c r="L942" t="inlineStr">
        <is>
          <t>Chicago : Aldine·Atherton, [1972]</t>
        </is>
      </c>
      <c r="M942" t="inlineStr">
        <is>
          <t>1972</t>
        </is>
      </c>
      <c r="O942" t="inlineStr">
        <is>
          <t>eng</t>
        </is>
      </c>
      <c r="P942" t="inlineStr">
        <is>
          <t>ilu</t>
        </is>
      </c>
      <c r="Q942" t="inlineStr">
        <is>
          <t>Perspectives on personality</t>
        </is>
      </c>
      <c r="R942" t="inlineStr">
        <is>
          <t xml:space="preserve">BF </t>
        </is>
      </c>
      <c r="S942" t="n">
        <v>1</v>
      </c>
      <c r="T942" t="n">
        <v>1</v>
      </c>
      <c r="U942" t="inlineStr">
        <is>
          <t>2009-11-11</t>
        </is>
      </c>
      <c r="V942" t="inlineStr">
        <is>
          <t>2009-11-11</t>
        </is>
      </c>
      <c r="W942" t="inlineStr">
        <is>
          <t>1994-11-28</t>
        </is>
      </c>
      <c r="X942" t="inlineStr">
        <is>
          <t>1994-11-28</t>
        </is>
      </c>
      <c r="Y942" t="n">
        <v>512</v>
      </c>
      <c r="Z942" t="n">
        <v>419</v>
      </c>
      <c r="AA942" t="n">
        <v>485</v>
      </c>
      <c r="AB942" t="n">
        <v>2</v>
      </c>
      <c r="AC942" t="n">
        <v>2</v>
      </c>
      <c r="AD942" t="n">
        <v>18</v>
      </c>
      <c r="AE942" t="n">
        <v>19</v>
      </c>
      <c r="AF942" t="n">
        <v>6</v>
      </c>
      <c r="AG942" t="n">
        <v>6</v>
      </c>
      <c r="AH942" t="n">
        <v>4</v>
      </c>
      <c r="AI942" t="n">
        <v>4</v>
      </c>
      <c r="AJ942" t="n">
        <v>12</v>
      </c>
      <c r="AK942" t="n">
        <v>13</v>
      </c>
      <c r="AL942" t="n">
        <v>1</v>
      </c>
      <c r="AM942" t="n">
        <v>1</v>
      </c>
      <c r="AN942" t="n">
        <v>0</v>
      </c>
      <c r="AO942" t="n">
        <v>0</v>
      </c>
      <c r="AP942" t="inlineStr">
        <is>
          <t>No</t>
        </is>
      </c>
      <c r="AQ942" t="inlineStr">
        <is>
          <t>Yes</t>
        </is>
      </c>
      <c r="AR942">
        <f>HYPERLINK("http://catalog.hathitrust.org/Record/000427715","HathiTrust Record")</f>
        <v/>
      </c>
      <c r="AS942">
        <f>HYPERLINK("https://creighton-primo.hosted.exlibrisgroup.com/primo-explore/search?tab=default_tab&amp;search_scope=EVERYTHING&amp;vid=01CRU&amp;lang=en_US&amp;offset=0&amp;query=any,contains,991002233279702656","Catalog Record")</f>
        <v/>
      </c>
      <c r="AT942">
        <f>HYPERLINK("http://www.worldcat.org/oclc/294876","WorldCat Record")</f>
        <v/>
      </c>
      <c r="AU942" t="inlineStr">
        <is>
          <t>793235124:eng</t>
        </is>
      </c>
      <c r="AV942" t="inlineStr">
        <is>
          <t>294876</t>
        </is>
      </c>
      <c r="AW942" t="inlineStr">
        <is>
          <t>991002233279702656</t>
        </is>
      </c>
      <c r="AX942" t="inlineStr">
        <is>
          <t>991002233279702656</t>
        </is>
      </c>
      <c r="AY942" t="inlineStr">
        <is>
          <t>2268446320002656</t>
        </is>
      </c>
      <c r="AZ942" t="inlineStr">
        <is>
          <t>BOOK</t>
        </is>
      </c>
      <c r="BB942" t="inlineStr">
        <is>
          <t>9780202250892</t>
        </is>
      </c>
      <c r="BC942" t="inlineStr">
        <is>
          <t>32285001968410</t>
        </is>
      </c>
      <c r="BD942" t="inlineStr">
        <is>
          <t>893427371</t>
        </is>
      </c>
    </row>
    <row r="943">
      <c r="A943" t="inlineStr">
        <is>
          <t>No</t>
        </is>
      </c>
      <c r="B943" t="inlineStr">
        <is>
          <t>BF698 .P357 1976</t>
        </is>
      </c>
      <c r="C943" t="inlineStr">
        <is>
          <t>0                      BF 0698000P  357         1976</t>
        </is>
      </c>
      <c r="D943" t="inlineStr">
        <is>
          <t>Personality / edited by Rom Harré.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No</t>
        </is>
      </c>
      <c r="J943" t="inlineStr">
        <is>
          <t>0</t>
        </is>
      </c>
      <c r="L943" t="inlineStr">
        <is>
          <t>Totowa, N.J. : Rowman and Littlefield, 1976.</t>
        </is>
      </c>
      <c r="M943" t="inlineStr">
        <is>
          <t>1976</t>
        </is>
      </c>
      <c r="O943" t="inlineStr">
        <is>
          <t>eng</t>
        </is>
      </c>
      <c r="P943" t="inlineStr">
        <is>
          <t>nju</t>
        </is>
      </c>
      <c r="R943" t="inlineStr">
        <is>
          <t xml:space="preserve">BF </t>
        </is>
      </c>
      <c r="S943" t="n">
        <v>2</v>
      </c>
      <c r="T943" t="n">
        <v>2</v>
      </c>
      <c r="U943" t="inlineStr">
        <is>
          <t>1997-03-13</t>
        </is>
      </c>
      <c r="V943" t="inlineStr">
        <is>
          <t>1997-03-13</t>
        </is>
      </c>
      <c r="W943" t="inlineStr">
        <is>
          <t>1993-04-05</t>
        </is>
      </c>
      <c r="X943" t="inlineStr">
        <is>
          <t>1993-04-05</t>
        </is>
      </c>
      <c r="Y943" t="n">
        <v>276</v>
      </c>
      <c r="Z943" t="n">
        <v>248</v>
      </c>
      <c r="AA943" t="n">
        <v>282</v>
      </c>
      <c r="AB943" t="n">
        <v>2</v>
      </c>
      <c r="AC943" t="n">
        <v>3</v>
      </c>
      <c r="AD943" t="n">
        <v>8</v>
      </c>
      <c r="AE943" t="n">
        <v>9</v>
      </c>
      <c r="AF943" t="n">
        <v>2</v>
      </c>
      <c r="AG943" t="n">
        <v>2</v>
      </c>
      <c r="AH943" t="n">
        <v>1</v>
      </c>
      <c r="AI943" t="n">
        <v>1</v>
      </c>
      <c r="AJ943" t="n">
        <v>6</v>
      </c>
      <c r="AK943" t="n">
        <v>6</v>
      </c>
      <c r="AL943" t="n">
        <v>1</v>
      </c>
      <c r="AM943" t="n">
        <v>2</v>
      </c>
      <c r="AN943" t="n">
        <v>0</v>
      </c>
      <c r="AO943" t="n">
        <v>0</v>
      </c>
      <c r="AP943" t="inlineStr">
        <is>
          <t>No</t>
        </is>
      </c>
      <c r="AQ943" t="inlineStr">
        <is>
          <t>No</t>
        </is>
      </c>
      <c r="AS943">
        <f>HYPERLINK("https://creighton-primo.hosted.exlibrisgroup.com/primo-explore/search?tab=default_tab&amp;search_scope=EVERYTHING&amp;vid=01CRU&amp;lang=en_US&amp;offset=0&amp;query=any,contains,991004264029702656","Catalog Record")</f>
        <v/>
      </c>
      <c r="AT943">
        <f>HYPERLINK("http://www.worldcat.org/oclc/2858505","WorldCat Record")</f>
        <v/>
      </c>
      <c r="AU943" t="inlineStr">
        <is>
          <t>54162650:eng</t>
        </is>
      </c>
      <c r="AV943" t="inlineStr">
        <is>
          <t>2858505</t>
        </is>
      </c>
      <c r="AW943" t="inlineStr">
        <is>
          <t>991004264029702656</t>
        </is>
      </c>
      <c r="AX943" t="inlineStr">
        <is>
          <t>991004264029702656</t>
        </is>
      </c>
      <c r="AY943" t="inlineStr">
        <is>
          <t>2263420840002656</t>
        </is>
      </c>
      <c r="AZ943" t="inlineStr">
        <is>
          <t>BOOK</t>
        </is>
      </c>
      <c r="BB943" t="inlineStr">
        <is>
          <t>9780874719079</t>
        </is>
      </c>
      <c r="BC943" t="inlineStr">
        <is>
          <t>32285001601532</t>
        </is>
      </c>
      <c r="BD943" t="inlineStr">
        <is>
          <t>893535885</t>
        </is>
      </c>
    </row>
    <row r="944">
      <c r="A944" t="inlineStr">
        <is>
          <t>No</t>
        </is>
      </c>
      <c r="B944" t="inlineStr">
        <is>
          <t>BF698 .P3713 1989</t>
        </is>
      </c>
      <c r="C944" t="inlineStr">
        <is>
          <t>0                      BF 0698000P  3713        1989</t>
        </is>
      </c>
      <c r="D944" t="inlineStr">
        <is>
          <t>Personality psychology : recent trends and emerging directions / David M. Buss, Nancy Cantor, editors.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L944" t="inlineStr">
        <is>
          <t>New York : Springer-Verlag, c1989.</t>
        </is>
      </c>
      <c r="M944" t="inlineStr">
        <is>
          <t>1989</t>
        </is>
      </c>
      <c r="O944" t="inlineStr">
        <is>
          <t>eng</t>
        </is>
      </c>
      <c r="P944" t="inlineStr">
        <is>
          <t>nyu</t>
        </is>
      </c>
      <c r="R944" t="inlineStr">
        <is>
          <t xml:space="preserve">BF </t>
        </is>
      </c>
      <c r="S944" t="n">
        <v>15</v>
      </c>
      <c r="T944" t="n">
        <v>15</v>
      </c>
      <c r="U944" t="inlineStr">
        <is>
          <t>2003-10-28</t>
        </is>
      </c>
      <c r="V944" t="inlineStr">
        <is>
          <t>2003-10-28</t>
        </is>
      </c>
      <c r="W944" t="inlineStr">
        <is>
          <t>1992-04-22</t>
        </is>
      </c>
      <c r="X944" t="inlineStr">
        <is>
          <t>1992-04-22</t>
        </is>
      </c>
      <c r="Y944" t="n">
        <v>346</v>
      </c>
      <c r="Z944" t="n">
        <v>259</v>
      </c>
      <c r="AA944" t="n">
        <v>280</v>
      </c>
      <c r="AB944" t="n">
        <v>3</v>
      </c>
      <c r="AC944" t="n">
        <v>3</v>
      </c>
      <c r="AD944" t="n">
        <v>15</v>
      </c>
      <c r="AE944" t="n">
        <v>17</v>
      </c>
      <c r="AF944" t="n">
        <v>3</v>
      </c>
      <c r="AG944" t="n">
        <v>5</v>
      </c>
      <c r="AH944" t="n">
        <v>3</v>
      </c>
      <c r="AI944" t="n">
        <v>3</v>
      </c>
      <c r="AJ944" t="n">
        <v>11</v>
      </c>
      <c r="AK944" t="n">
        <v>12</v>
      </c>
      <c r="AL944" t="n">
        <v>2</v>
      </c>
      <c r="AM944" t="n">
        <v>2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HYPERLINK("http://catalog.hathitrust.org/Record/001822428","HathiTrust Record")</f>
        <v/>
      </c>
      <c r="AS944">
        <f>HYPERLINK("https://creighton-primo.hosted.exlibrisgroup.com/primo-explore/search?tab=default_tab&amp;search_scope=EVERYTHING&amp;vid=01CRU&amp;lang=en_US&amp;offset=0&amp;query=any,contains,991001487289702656","Catalog Record")</f>
        <v/>
      </c>
      <c r="AT944">
        <f>HYPERLINK("http://www.worldcat.org/oclc/19670768","WorldCat Record")</f>
        <v/>
      </c>
      <c r="AU944" t="inlineStr">
        <is>
          <t>890493378:eng</t>
        </is>
      </c>
      <c r="AV944" t="inlineStr">
        <is>
          <t>19670768</t>
        </is>
      </c>
      <c r="AW944" t="inlineStr">
        <is>
          <t>991001487289702656</t>
        </is>
      </c>
      <c r="AX944" t="inlineStr">
        <is>
          <t>991001487289702656</t>
        </is>
      </c>
      <c r="AY944" t="inlineStr">
        <is>
          <t>2264425270002656</t>
        </is>
      </c>
      <c r="AZ944" t="inlineStr">
        <is>
          <t>BOOK</t>
        </is>
      </c>
      <c r="BB944" t="inlineStr">
        <is>
          <t>9780387969930</t>
        </is>
      </c>
      <c r="BC944" t="inlineStr">
        <is>
          <t>32285001036580</t>
        </is>
      </c>
      <c r="BD944" t="inlineStr">
        <is>
          <t>893866271</t>
        </is>
      </c>
    </row>
    <row r="945">
      <c r="A945" t="inlineStr">
        <is>
          <t>No</t>
        </is>
      </c>
      <c r="B945" t="inlineStr">
        <is>
          <t>BF698 .S423 1983</t>
        </is>
      </c>
      <c r="C945" t="inlineStr">
        <is>
          <t>0                      BF 0698000S  423         1983</t>
        </is>
      </c>
      <c r="D945" t="inlineStr">
        <is>
          <t>Personality integration : studies and reflections / Julius Seeman.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K945" t="inlineStr">
        <is>
          <t>Seeman, Julius, 1915-</t>
        </is>
      </c>
      <c r="L945" t="inlineStr">
        <is>
          <t>New York, N.Y. : Human Sciences Press, c1983.</t>
        </is>
      </c>
      <c r="M945" t="inlineStr">
        <is>
          <t>1983</t>
        </is>
      </c>
      <c r="O945" t="inlineStr">
        <is>
          <t>eng</t>
        </is>
      </c>
      <c r="P945" t="inlineStr">
        <is>
          <t>nyu</t>
        </is>
      </c>
      <c r="R945" t="inlineStr">
        <is>
          <t xml:space="preserve">BF </t>
        </is>
      </c>
      <c r="S945" t="n">
        <v>2</v>
      </c>
      <c r="T945" t="n">
        <v>2</v>
      </c>
      <c r="U945" t="inlineStr">
        <is>
          <t>1997-01-27</t>
        </is>
      </c>
      <c r="V945" t="inlineStr">
        <is>
          <t>1997-01-27</t>
        </is>
      </c>
      <c r="W945" t="inlineStr">
        <is>
          <t>1993-04-05</t>
        </is>
      </c>
      <c r="X945" t="inlineStr">
        <is>
          <t>1993-04-05</t>
        </is>
      </c>
      <c r="Y945" t="n">
        <v>239</v>
      </c>
      <c r="Z945" t="n">
        <v>203</v>
      </c>
      <c r="AA945" t="n">
        <v>205</v>
      </c>
      <c r="AB945" t="n">
        <v>3</v>
      </c>
      <c r="AC945" t="n">
        <v>3</v>
      </c>
      <c r="AD945" t="n">
        <v>8</v>
      </c>
      <c r="AE945" t="n">
        <v>8</v>
      </c>
      <c r="AF945" t="n">
        <v>1</v>
      </c>
      <c r="AG945" t="n">
        <v>1</v>
      </c>
      <c r="AH945" t="n">
        <v>2</v>
      </c>
      <c r="AI945" t="n">
        <v>2</v>
      </c>
      <c r="AJ945" t="n">
        <v>5</v>
      </c>
      <c r="AK945" t="n">
        <v>5</v>
      </c>
      <c r="AL945" t="n">
        <v>2</v>
      </c>
      <c r="AM945" t="n">
        <v>2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HYPERLINK("http://catalog.hathitrust.org/Record/000205268","HathiTrust Record")</f>
        <v/>
      </c>
      <c r="AS945">
        <f>HYPERLINK("https://creighton-primo.hosted.exlibrisgroup.com/primo-explore/search?tab=default_tab&amp;search_scope=EVERYTHING&amp;vid=01CRU&amp;lang=en_US&amp;offset=0&amp;query=any,contains,991005224919702656","Catalog Record")</f>
        <v/>
      </c>
      <c r="AT945">
        <f>HYPERLINK("http://www.worldcat.org/oclc/8280205","WorldCat Record")</f>
        <v/>
      </c>
      <c r="AU945" t="inlineStr">
        <is>
          <t>312588624:eng</t>
        </is>
      </c>
      <c r="AV945" t="inlineStr">
        <is>
          <t>8280205</t>
        </is>
      </c>
      <c r="AW945" t="inlineStr">
        <is>
          <t>991005224919702656</t>
        </is>
      </c>
      <c r="AX945" t="inlineStr">
        <is>
          <t>991005224919702656</t>
        </is>
      </c>
      <c r="AY945" t="inlineStr">
        <is>
          <t>2257260240002656</t>
        </is>
      </c>
      <c r="AZ945" t="inlineStr">
        <is>
          <t>BOOK</t>
        </is>
      </c>
      <c r="BB945" t="inlineStr">
        <is>
          <t>9780898850840</t>
        </is>
      </c>
      <c r="BC945" t="inlineStr">
        <is>
          <t>32285001601672</t>
        </is>
      </c>
      <c r="BD945" t="inlineStr">
        <is>
          <t>893412526</t>
        </is>
      </c>
    </row>
    <row r="946">
      <c r="A946" t="inlineStr">
        <is>
          <t>No</t>
        </is>
      </c>
      <c r="B946" t="inlineStr">
        <is>
          <t>BF698 .S4273</t>
        </is>
      </c>
      <c r="C946" t="inlineStr">
        <is>
          <t>0                      BF 0698000S  4273</t>
        </is>
      </c>
      <c r="D946" t="inlineStr">
        <is>
          <t>Man in Marxist theory, and the psychology of personality / Lucien Sève ; translated from the French by John McGreal.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Sève, Lucien.</t>
        </is>
      </c>
      <c r="L946" t="inlineStr">
        <is>
          <t>Sussex [Eng.] : Harvester Press ; Atlantic Highlands, N.J. ; Humanities Press, 1978.</t>
        </is>
      </c>
      <c r="M946" t="inlineStr">
        <is>
          <t>1978</t>
        </is>
      </c>
      <c r="O946" t="inlineStr">
        <is>
          <t>eng</t>
        </is>
      </c>
      <c r="P946" t="inlineStr">
        <is>
          <t>enk</t>
        </is>
      </c>
      <c r="Q946" t="inlineStr">
        <is>
          <t>Marxist theory and contemporary capitalism</t>
        </is>
      </c>
      <c r="R946" t="inlineStr">
        <is>
          <t xml:space="preserve">BF </t>
        </is>
      </c>
      <c r="S946" t="n">
        <v>2</v>
      </c>
      <c r="T946" t="n">
        <v>2</v>
      </c>
      <c r="U946" t="inlineStr">
        <is>
          <t>2004-11-22</t>
        </is>
      </c>
      <c r="V946" t="inlineStr">
        <is>
          <t>2004-11-22</t>
        </is>
      </c>
      <c r="W946" t="inlineStr">
        <is>
          <t>1993-04-05</t>
        </is>
      </c>
      <c r="X946" t="inlineStr">
        <is>
          <t>1993-04-05</t>
        </is>
      </c>
      <c r="Y946" t="n">
        <v>377</v>
      </c>
      <c r="Z946" t="n">
        <v>232</v>
      </c>
      <c r="AA946" t="n">
        <v>240</v>
      </c>
      <c r="AB946" t="n">
        <v>3</v>
      </c>
      <c r="AC946" t="n">
        <v>3</v>
      </c>
      <c r="AD946" t="n">
        <v>13</v>
      </c>
      <c r="AE946" t="n">
        <v>13</v>
      </c>
      <c r="AF946" t="n">
        <v>2</v>
      </c>
      <c r="AG946" t="n">
        <v>2</v>
      </c>
      <c r="AH946" t="n">
        <v>4</v>
      </c>
      <c r="AI946" t="n">
        <v>4</v>
      </c>
      <c r="AJ946" t="n">
        <v>8</v>
      </c>
      <c r="AK946" t="n">
        <v>8</v>
      </c>
      <c r="AL946" t="n">
        <v>2</v>
      </c>
      <c r="AM946" t="n">
        <v>2</v>
      </c>
      <c r="AN946" t="n">
        <v>0</v>
      </c>
      <c r="AO946" t="n">
        <v>0</v>
      </c>
      <c r="AP946" t="inlineStr">
        <is>
          <t>No</t>
        </is>
      </c>
      <c r="AQ946" t="inlineStr">
        <is>
          <t>Yes</t>
        </is>
      </c>
      <c r="AR946">
        <f>HYPERLINK("http://catalog.hathitrust.org/Record/000176319","HathiTrust Record")</f>
        <v/>
      </c>
      <c r="AS946">
        <f>HYPERLINK("https://creighton-primo.hosted.exlibrisgroup.com/primo-explore/search?tab=default_tab&amp;search_scope=EVERYTHING&amp;vid=01CRU&amp;lang=en_US&amp;offset=0&amp;query=any,contains,991004532049702656","Catalog Record")</f>
        <v/>
      </c>
      <c r="AT946">
        <f>HYPERLINK("http://www.worldcat.org/oclc/4002651","WorldCat Record")</f>
        <v/>
      </c>
      <c r="AU946" t="inlineStr">
        <is>
          <t>4662984:eng</t>
        </is>
      </c>
      <c r="AV946" t="inlineStr">
        <is>
          <t>4002651</t>
        </is>
      </c>
      <c r="AW946" t="inlineStr">
        <is>
          <t>991004532049702656</t>
        </is>
      </c>
      <c r="AX946" t="inlineStr">
        <is>
          <t>991004532049702656</t>
        </is>
      </c>
      <c r="AY946" t="inlineStr">
        <is>
          <t>2267744350002656</t>
        </is>
      </c>
      <c r="AZ946" t="inlineStr">
        <is>
          <t>BOOK</t>
        </is>
      </c>
      <c r="BB946" t="inlineStr">
        <is>
          <t>9780855273743</t>
        </is>
      </c>
      <c r="BC946" t="inlineStr">
        <is>
          <t>32285001601680</t>
        </is>
      </c>
      <c r="BD946" t="inlineStr">
        <is>
          <t>893506962</t>
        </is>
      </c>
    </row>
    <row r="947">
      <c r="A947" t="inlineStr">
        <is>
          <t>No</t>
        </is>
      </c>
      <c r="B947" t="inlineStr">
        <is>
          <t>BF698 .S576 1968</t>
        </is>
      </c>
      <c r="C947" t="inlineStr">
        <is>
          <t>0                      BF 0698000S  576         1968</t>
        </is>
      </c>
      <c r="D947" t="inlineStr">
        <is>
          <t>Personality development.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K947" t="inlineStr">
        <is>
          <t>Smith, Henry Clay, 1913-2005.</t>
        </is>
      </c>
      <c r="L947" t="inlineStr">
        <is>
          <t>New York, McGraw-Hill [1968]</t>
        </is>
      </c>
      <c r="M947" t="inlineStr">
        <is>
          <t>1968</t>
        </is>
      </c>
      <c r="O947" t="inlineStr">
        <is>
          <t>eng</t>
        </is>
      </c>
      <c r="P947" t="inlineStr">
        <is>
          <t>nyu</t>
        </is>
      </c>
      <c r="R947" t="inlineStr">
        <is>
          <t xml:space="preserve">BF </t>
        </is>
      </c>
      <c r="S947" t="n">
        <v>3</v>
      </c>
      <c r="T947" t="n">
        <v>3</v>
      </c>
      <c r="U947" t="inlineStr">
        <is>
          <t>2004-12-02</t>
        </is>
      </c>
      <c r="V947" t="inlineStr">
        <is>
          <t>2004-12-02</t>
        </is>
      </c>
      <c r="W947" t="inlineStr">
        <is>
          <t>1996-08-02</t>
        </is>
      </c>
      <c r="X947" t="inlineStr">
        <is>
          <t>1996-08-02</t>
        </is>
      </c>
      <c r="Y947" t="n">
        <v>304</v>
      </c>
      <c r="Z947" t="n">
        <v>244</v>
      </c>
      <c r="AA947" t="n">
        <v>361</v>
      </c>
      <c r="AB947" t="n">
        <v>3</v>
      </c>
      <c r="AC947" t="n">
        <v>3</v>
      </c>
      <c r="AD947" t="n">
        <v>9</v>
      </c>
      <c r="AE947" t="n">
        <v>16</v>
      </c>
      <c r="AF947" t="n">
        <v>4</v>
      </c>
      <c r="AG947" t="n">
        <v>8</v>
      </c>
      <c r="AH947" t="n">
        <v>2</v>
      </c>
      <c r="AI947" t="n">
        <v>3</v>
      </c>
      <c r="AJ947" t="n">
        <v>3</v>
      </c>
      <c r="AK947" t="n">
        <v>7</v>
      </c>
      <c r="AL947" t="n">
        <v>2</v>
      </c>
      <c r="AM947" t="n">
        <v>2</v>
      </c>
      <c r="AN947" t="n">
        <v>0</v>
      </c>
      <c r="AO947" t="n">
        <v>0</v>
      </c>
      <c r="AP947" t="inlineStr">
        <is>
          <t>No</t>
        </is>
      </c>
      <c r="AQ947" t="inlineStr">
        <is>
          <t>No</t>
        </is>
      </c>
      <c r="AS947">
        <f>HYPERLINK("https://creighton-primo.hosted.exlibrisgroup.com/primo-explore/search?tab=default_tab&amp;search_scope=EVERYTHING&amp;vid=01CRU&amp;lang=en_US&amp;offset=0&amp;query=any,contains,991001231509702656","Catalog Record")</f>
        <v/>
      </c>
      <c r="AT947">
        <f>HYPERLINK("http://www.worldcat.org/oclc/203724","WorldCat Record")</f>
        <v/>
      </c>
      <c r="AU947" t="inlineStr">
        <is>
          <t>19573224:eng</t>
        </is>
      </c>
      <c r="AV947" t="inlineStr">
        <is>
          <t>203724</t>
        </is>
      </c>
      <c r="AW947" t="inlineStr">
        <is>
          <t>991001231509702656</t>
        </is>
      </c>
      <c r="AX947" t="inlineStr">
        <is>
          <t>991001231509702656</t>
        </is>
      </c>
      <c r="AY947" t="inlineStr">
        <is>
          <t>2255957260002656</t>
        </is>
      </c>
      <c r="AZ947" t="inlineStr">
        <is>
          <t>BOOK</t>
        </is>
      </c>
      <c r="BC947" t="inlineStr">
        <is>
          <t>32285002253911</t>
        </is>
      </c>
      <c r="BD947" t="inlineStr">
        <is>
          <t>893225722</t>
        </is>
      </c>
    </row>
    <row r="948">
      <c r="A948" t="inlineStr">
        <is>
          <t>No</t>
        </is>
      </c>
      <c r="B948" t="inlineStr">
        <is>
          <t>BF698 .U48 1984</t>
        </is>
      </c>
      <c r="C948" t="inlineStr">
        <is>
          <t>0                      BF 0698000U  48          1984</t>
        </is>
      </c>
      <c r="D948" t="inlineStr">
        <is>
          <t>Passion : an essay on personality / Roberto Mangabeira Unger.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K948" t="inlineStr">
        <is>
          <t>Unger, Roberto Mangabeira.</t>
        </is>
      </c>
      <c r="L948" t="inlineStr">
        <is>
          <t>New York : Free Press ; London : Collier Macmillan, c1984.</t>
        </is>
      </c>
      <c r="M948" t="inlineStr">
        <is>
          <t>1984</t>
        </is>
      </c>
      <c r="O948" t="inlineStr">
        <is>
          <t>eng</t>
        </is>
      </c>
      <c r="P948" t="inlineStr">
        <is>
          <t>nyu</t>
        </is>
      </c>
      <c r="R948" t="inlineStr">
        <is>
          <t xml:space="preserve">BF </t>
        </is>
      </c>
      <c r="S948" t="n">
        <v>2</v>
      </c>
      <c r="T948" t="n">
        <v>2</v>
      </c>
      <c r="U948" t="inlineStr">
        <is>
          <t>1996-07-17</t>
        </is>
      </c>
      <c r="V948" t="inlineStr">
        <is>
          <t>1996-07-17</t>
        </is>
      </c>
      <c r="W948" t="inlineStr">
        <is>
          <t>1993-04-05</t>
        </is>
      </c>
      <c r="X948" t="inlineStr">
        <is>
          <t>1993-04-05</t>
        </is>
      </c>
      <c r="Y948" t="n">
        <v>572</v>
      </c>
      <c r="Z948" t="n">
        <v>477</v>
      </c>
      <c r="AA948" t="n">
        <v>505</v>
      </c>
      <c r="AB948" t="n">
        <v>3</v>
      </c>
      <c r="AC948" t="n">
        <v>3</v>
      </c>
      <c r="AD948" t="n">
        <v>22</v>
      </c>
      <c r="AE948" t="n">
        <v>25</v>
      </c>
      <c r="AF948" t="n">
        <v>9</v>
      </c>
      <c r="AG948" t="n">
        <v>10</v>
      </c>
      <c r="AH948" t="n">
        <v>3</v>
      </c>
      <c r="AI948" t="n">
        <v>4</v>
      </c>
      <c r="AJ948" t="n">
        <v>8</v>
      </c>
      <c r="AK948" t="n">
        <v>9</v>
      </c>
      <c r="AL948" t="n">
        <v>2</v>
      </c>
      <c r="AM948" t="n">
        <v>2</v>
      </c>
      <c r="AN948" t="n">
        <v>5</v>
      </c>
      <c r="AO948" t="n">
        <v>6</v>
      </c>
      <c r="AP948" t="inlineStr">
        <is>
          <t>No</t>
        </is>
      </c>
      <c r="AQ948" t="inlineStr">
        <is>
          <t>Yes</t>
        </is>
      </c>
      <c r="AR948">
        <f>HYPERLINK("http://catalog.hathitrust.org/Record/000120876","HathiTrust Record")</f>
        <v/>
      </c>
      <c r="AS948">
        <f>HYPERLINK("https://creighton-primo.hosted.exlibrisgroup.com/primo-explore/search?tab=default_tab&amp;search_scope=EVERYTHING&amp;vid=01CRU&amp;lang=en_US&amp;offset=0&amp;query=any,contains,991000354119702656","Catalog Record")</f>
        <v/>
      </c>
      <c r="AT948">
        <f>HYPERLINK("http://www.worldcat.org/oclc/10323532","WorldCat Record")</f>
        <v/>
      </c>
      <c r="AU948" t="inlineStr">
        <is>
          <t>836651077:eng</t>
        </is>
      </c>
      <c r="AV948" t="inlineStr">
        <is>
          <t>10323532</t>
        </is>
      </c>
      <c r="AW948" t="inlineStr">
        <is>
          <t>991000354119702656</t>
        </is>
      </c>
      <c r="AX948" t="inlineStr">
        <is>
          <t>991000354119702656</t>
        </is>
      </c>
      <c r="AY948" t="inlineStr">
        <is>
          <t>2268540370002656</t>
        </is>
      </c>
      <c r="AZ948" t="inlineStr">
        <is>
          <t>BOOK</t>
        </is>
      </c>
      <c r="BB948" t="inlineStr">
        <is>
          <t>9780029331200</t>
        </is>
      </c>
      <c r="BC948" t="inlineStr">
        <is>
          <t>32285001601714</t>
        </is>
      </c>
      <c r="BD948" t="inlineStr">
        <is>
          <t>893802693</t>
        </is>
      </c>
    </row>
    <row r="949">
      <c r="A949" t="inlineStr">
        <is>
          <t>No</t>
        </is>
      </c>
      <c r="B949" t="inlineStr">
        <is>
          <t>BF698 .V45</t>
        </is>
      </c>
      <c r="C949" t="inlineStr">
        <is>
          <t>0                      BF 0698000V  45</t>
        </is>
      </c>
      <c r="D949" t="inlineStr">
        <is>
          <t>Personality tests and assessments / Philip Ewart Vernon.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K949" t="inlineStr">
        <is>
          <t>Vernon, Philip E., 1905-1987.</t>
        </is>
      </c>
      <c r="L949" t="inlineStr">
        <is>
          <t>New York : Holt, [1953]</t>
        </is>
      </c>
      <c r="M949" t="inlineStr">
        <is>
          <t>1953</t>
        </is>
      </c>
      <c r="O949" t="inlineStr">
        <is>
          <t>eng</t>
        </is>
      </c>
      <c r="P949" t="inlineStr">
        <is>
          <t>nyu</t>
        </is>
      </c>
      <c r="R949" t="inlineStr">
        <is>
          <t xml:space="preserve">BF </t>
        </is>
      </c>
      <c r="S949" t="n">
        <v>1</v>
      </c>
      <c r="T949" t="n">
        <v>1</v>
      </c>
      <c r="U949" t="inlineStr">
        <is>
          <t>2000-10-22</t>
        </is>
      </c>
      <c r="V949" t="inlineStr">
        <is>
          <t>2000-10-22</t>
        </is>
      </c>
      <c r="W949" t="inlineStr">
        <is>
          <t>1996-08-02</t>
        </is>
      </c>
      <c r="X949" t="inlineStr">
        <is>
          <t>1996-08-02</t>
        </is>
      </c>
      <c r="Y949" t="n">
        <v>89</v>
      </c>
      <c r="Z949" t="n">
        <v>77</v>
      </c>
      <c r="AA949" t="n">
        <v>275</v>
      </c>
      <c r="AB949" t="n">
        <v>1</v>
      </c>
      <c r="AC949" t="n">
        <v>3</v>
      </c>
      <c r="AD949" t="n">
        <v>2</v>
      </c>
      <c r="AE949" t="n">
        <v>12</v>
      </c>
      <c r="AF949" t="n">
        <v>1</v>
      </c>
      <c r="AG949" t="n">
        <v>5</v>
      </c>
      <c r="AH949" t="n">
        <v>0</v>
      </c>
      <c r="AI949" t="n">
        <v>2</v>
      </c>
      <c r="AJ949" t="n">
        <v>1</v>
      </c>
      <c r="AK949" t="n">
        <v>7</v>
      </c>
      <c r="AL949" t="n">
        <v>0</v>
      </c>
      <c r="AM949" t="n">
        <v>2</v>
      </c>
      <c r="AN949" t="n">
        <v>0</v>
      </c>
      <c r="AO949" t="n">
        <v>0</v>
      </c>
      <c r="AP949" t="inlineStr">
        <is>
          <t>No</t>
        </is>
      </c>
      <c r="AQ949" t="inlineStr">
        <is>
          <t>No</t>
        </is>
      </c>
      <c r="AR949">
        <f>HYPERLINK("http://catalog.hathitrust.org/Record/000427556","HathiTrust Record")</f>
        <v/>
      </c>
      <c r="AS949">
        <f>HYPERLINK("https://creighton-primo.hosted.exlibrisgroup.com/primo-explore/search?tab=default_tab&amp;search_scope=EVERYTHING&amp;vid=01CRU&amp;lang=en_US&amp;offset=0&amp;query=any,contains,991004443389702656","Catalog Record")</f>
        <v/>
      </c>
      <c r="AT949">
        <f>HYPERLINK("http://www.worldcat.org/oclc/3475073","WorldCat Record")</f>
        <v/>
      </c>
      <c r="AU949" t="inlineStr">
        <is>
          <t>2674381:eng</t>
        </is>
      </c>
      <c r="AV949" t="inlineStr">
        <is>
          <t>3475073</t>
        </is>
      </c>
      <c r="AW949" t="inlineStr">
        <is>
          <t>991004443389702656</t>
        </is>
      </c>
      <c r="AX949" t="inlineStr">
        <is>
          <t>991004443389702656</t>
        </is>
      </c>
      <c r="AY949" t="inlineStr">
        <is>
          <t>2272087400002656</t>
        </is>
      </c>
      <c r="AZ949" t="inlineStr">
        <is>
          <t>BOOK</t>
        </is>
      </c>
      <c r="BC949" t="inlineStr">
        <is>
          <t>32285002254034</t>
        </is>
      </c>
      <c r="BD949" t="inlineStr">
        <is>
          <t>893807079</t>
        </is>
      </c>
    </row>
    <row r="950">
      <c r="A950" t="inlineStr">
        <is>
          <t>No</t>
        </is>
      </c>
      <c r="B950" t="inlineStr">
        <is>
          <t>BF698.4 .K56 1983b</t>
        </is>
      </c>
      <c r="C950" t="inlineStr">
        <is>
          <t>0                      BF 0698400K  56          1983b</t>
        </is>
      </c>
      <c r="D950" t="inlineStr">
        <is>
          <t>Personality : measurement and theory / Paul Kline.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K950" t="inlineStr">
        <is>
          <t>Kline, Paul.</t>
        </is>
      </c>
      <c r="L950" t="inlineStr">
        <is>
          <t>New York : St. Martin's Press, 1983.</t>
        </is>
      </c>
      <c r="M950" t="inlineStr">
        <is>
          <t>1983</t>
        </is>
      </c>
      <c r="O950" t="inlineStr">
        <is>
          <t>eng</t>
        </is>
      </c>
      <c r="P950" t="inlineStr">
        <is>
          <t>nyu</t>
        </is>
      </c>
      <c r="R950" t="inlineStr">
        <is>
          <t xml:space="preserve">BF </t>
        </is>
      </c>
      <c r="S950" t="n">
        <v>4</v>
      </c>
      <c r="T950" t="n">
        <v>4</v>
      </c>
      <c r="U950" t="inlineStr">
        <is>
          <t>2007-09-17</t>
        </is>
      </c>
      <c r="V950" t="inlineStr">
        <is>
          <t>2007-09-17</t>
        </is>
      </c>
      <c r="W950" t="inlineStr">
        <is>
          <t>1990-04-26</t>
        </is>
      </c>
      <c r="X950" t="inlineStr">
        <is>
          <t>1990-04-26</t>
        </is>
      </c>
      <c r="Y950" t="n">
        <v>345</v>
      </c>
      <c r="Z950" t="n">
        <v>320</v>
      </c>
      <c r="AA950" t="n">
        <v>380</v>
      </c>
      <c r="AB950" t="n">
        <v>3</v>
      </c>
      <c r="AC950" t="n">
        <v>3</v>
      </c>
      <c r="AD950" t="n">
        <v>12</v>
      </c>
      <c r="AE950" t="n">
        <v>13</v>
      </c>
      <c r="AF950" t="n">
        <v>4</v>
      </c>
      <c r="AG950" t="n">
        <v>4</v>
      </c>
      <c r="AH950" t="n">
        <v>4</v>
      </c>
      <c r="AI950" t="n">
        <v>4</v>
      </c>
      <c r="AJ950" t="n">
        <v>4</v>
      </c>
      <c r="AK950" t="n">
        <v>5</v>
      </c>
      <c r="AL950" t="n">
        <v>2</v>
      </c>
      <c r="AM950" t="n">
        <v>2</v>
      </c>
      <c r="AN950" t="n">
        <v>0</v>
      </c>
      <c r="AO950" t="n">
        <v>0</v>
      </c>
      <c r="AP950" t="inlineStr">
        <is>
          <t>No</t>
        </is>
      </c>
      <c r="AQ950" t="inlineStr">
        <is>
          <t>No</t>
        </is>
      </c>
      <c r="AS950">
        <f>HYPERLINK("https://creighton-primo.hosted.exlibrisgroup.com/primo-explore/search?tab=default_tab&amp;search_scope=EVERYTHING&amp;vid=01CRU&amp;lang=en_US&amp;offset=0&amp;query=any,contains,991000252479702656","Catalog Record")</f>
        <v/>
      </c>
      <c r="AT950">
        <f>HYPERLINK("http://www.worldcat.org/oclc/9759369","WorldCat Record")</f>
        <v/>
      </c>
      <c r="AU950" t="inlineStr">
        <is>
          <t>43796359:eng</t>
        </is>
      </c>
      <c r="AV950" t="inlineStr">
        <is>
          <t>9759369</t>
        </is>
      </c>
      <c r="AW950" t="inlineStr">
        <is>
          <t>991000252479702656</t>
        </is>
      </c>
      <c r="AX950" t="inlineStr">
        <is>
          <t>991000252479702656</t>
        </is>
      </c>
      <c r="AY950" t="inlineStr">
        <is>
          <t>2255721120002656</t>
        </is>
      </c>
      <c r="AZ950" t="inlineStr">
        <is>
          <t>BOOK</t>
        </is>
      </c>
      <c r="BB950" t="inlineStr">
        <is>
          <t>9780312602307</t>
        </is>
      </c>
      <c r="BC950" t="inlineStr">
        <is>
          <t>32285000134659</t>
        </is>
      </c>
      <c r="BD950" t="inlineStr">
        <is>
          <t>893496084</t>
        </is>
      </c>
    </row>
    <row r="951">
      <c r="A951" t="inlineStr">
        <is>
          <t>No</t>
        </is>
      </c>
      <c r="B951" t="inlineStr">
        <is>
          <t>BF698.5 .C3</t>
        </is>
      </c>
      <c r="C951" t="inlineStr">
        <is>
          <t>0                      BF 0698500C  3</t>
        </is>
      </c>
      <c r="D951" t="inlineStr">
        <is>
          <t>Objective personality &amp; motivation tests; a theoretical introduction and practical compendium [by] Raymond B. Cattell [and] Frank W. Warburton, with the assistance of Fred L. Damarin, Jr. [and] Arthur B. Sweney.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Cattell, Raymond B. (Raymond Bernard), 1905-1998.</t>
        </is>
      </c>
      <c r="L951" t="inlineStr">
        <is>
          <t>Urbana, University of Illinois Press, 1967.</t>
        </is>
      </c>
      <c r="M951" t="inlineStr">
        <is>
          <t>1967</t>
        </is>
      </c>
      <c r="O951" t="inlineStr">
        <is>
          <t>eng</t>
        </is>
      </c>
      <c r="P951" t="inlineStr">
        <is>
          <t>ilu</t>
        </is>
      </c>
      <c r="R951" t="inlineStr">
        <is>
          <t xml:space="preserve">BF </t>
        </is>
      </c>
      <c r="S951" t="n">
        <v>2</v>
      </c>
      <c r="T951" t="n">
        <v>2</v>
      </c>
      <c r="U951" t="inlineStr">
        <is>
          <t>2000-10-22</t>
        </is>
      </c>
      <c r="V951" t="inlineStr">
        <is>
          <t>2000-10-22</t>
        </is>
      </c>
      <c r="W951" t="inlineStr">
        <is>
          <t>1996-08-05</t>
        </is>
      </c>
      <c r="X951" t="inlineStr">
        <is>
          <t>1996-08-05</t>
        </is>
      </c>
      <c r="Y951" t="n">
        <v>628</v>
      </c>
      <c r="Z951" t="n">
        <v>473</v>
      </c>
      <c r="AA951" t="n">
        <v>482</v>
      </c>
      <c r="AB951" t="n">
        <v>3</v>
      </c>
      <c r="AC951" t="n">
        <v>3</v>
      </c>
      <c r="AD951" t="n">
        <v>25</v>
      </c>
      <c r="AE951" t="n">
        <v>25</v>
      </c>
      <c r="AF951" t="n">
        <v>7</v>
      </c>
      <c r="AG951" t="n">
        <v>7</v>
      </c>
      <c r="AH951" t="n">
        <v>10</v>
      </c>
      <c r="AI951" t="n">
        <v>10</v>
      </c>
      <c r="AJ951" t="n">
        <v>13</v>
      </c>
      <c r="AK951" t="n">
        <v>13</v>
      </c>
      <c r="AL951" t="n">
        <v>2</v>
      </c>
      <c r="AM951" t="n">
        <v>2</v>
      </c>
      <c r="AN951" t="n">
        <v>0</v>
      </c>
      <c r="AO951" t="n">
        <v>0</v>
      </c>
      <c r="AP951" t="inlineStr">
        <is>
          <t>No</t>
        </is>
      </c>
      <c r="AQ951" t="inlineStr">
        <is>
          <t>Yes</t>
        </is>
      </c>
      <c r="AR951">
        <f>HYPERLINK("http://catalog.hathitrust.org/Record/000427092","HathiTrust Record")</f>
        <v/>
      </c>
      <c r="AS951">
        <f>HYPERLINK("https://creighton-primo.hosted.exlibrisgroup.com/primo-explore/search?tab=default_tab&amp;search_scope=EVERYTHING&amp;vid=01CRU&amp;lang=en_US&amp;offset=0&amp;query=any,contains,991001216059702656","Catalog Record")</f>
        <v/>
      </c>
      <c r="AT951">
        <f>HYPERLINK("http://www.worldcat.org/oclc/194137","WorldCat Record")</f>
        <v/>
      </c>
      <c r="AU951" t="inlineStr">
        <is>
          <t>292098149:eng</t>
        </is>
      </c>
      <c r="AV951" t="inlineStr">
        <is>
          <t>194137</t>
        </is>
      </c>
      <c r="AW951" t="inlineStr">
        <is>
          <t>991001216059702656</t>
        </is>
      </c>
      <c r="AX951" t="inlineStr">
        <is>
          <t>991001216059702656</t>
        </is>
      </c>
      <c r="AY951" t="inlineStr">
        <is>
          <t>2269321890002656</t>
        </is>
      </c>
      <c r="AZ951" t="inlineStr">
        <is>
          <t>BOOK</t>
        </is>
      </c>
      <c r="BC951" t="inlineStr">
        <is>
          <t>32285002254299</t>
        </is>
      </c>
      <c r="BD951" t="inlineStr">
        <is>
          <t>893528761</t>
        </is>
      </c>
    </row>
    <row r="952">
      <c r="A952" t="inlineStr">
        <is>
          <t>No</t>
        </is>
      </c>
      <c r="B952" t="inlineStr">
        <is>
          <t>BF698.5 .E89</t>
        </is>
      </c>
      <c r="C952" t="inlineStr">
        <is>
          <t>0                      BF 0698500E  89</t>
        </is>
      </c>
      <c r="D952" t="inlineStr">
        <is>
          <t>Know your own personality / Hans Eysenck and Glenn Wilson.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Eysenck, H. J. (Hans Jurgen), 1916-1997.</t>
        </is>
      </c>
      <c r="L952" t="inlineStr">
        <is>
          <t>New York : Barnes &amp; Noble Books, 1976.</t>
        </is>
      </c>
      <c r="M952" t="inlineStr">
        <is>
          <t>1976</t>
        </is>
      </c>
      <c r="O952" t="inlineStr">
        <is>
          <t>eng</t>
        </is>
      </c>
      <c r="P952" t="inlineStr">
        <is>
          <t>nyu</t>
        </is>
      </c>
      <c r="R952" t="inlineStr">
        <is>
          <t xml:space="preserve">BF </t>
        </is>
      </c>
      <c r="S952" t="n">
        <v>8</v>
      </c>
      <c r="T952" t="n">
        <v>8</v>
      </c>
      <c r="U952" t="inlineStr">
        <is>
          <t>2007-09-17</t>
        </is>
      </c>
      <c r="V952" t="inlineStr">
        <is>
          <t>2007-09-17</t>
        </is>
      </c>
      <c r="W952" t="inlineStr">
        <is>
          <t>1992-11-07</t>
        </is>
      </c>
      <c r="X952" t="inlineStr">
        <is>
          <t>1992-11-07</t>
        </is>
      </c>
      <c r="Y952" t="n">
        <v>121</v>
      </c>
      <c r="Z952" t="n">
        <v>107</v>
      </c>
      <c r="AA952" t="n">
        <v>166</v>
      </c>
      <c r="AB952" t="n">
        <v>2</v>
      </c>
      <c r="AC952" t="n">
        <v>3</v>
      </c>
      <c r="AD952" t="n">
        <v>4</v>
      </c>
      <c r="AE952" t="n">
        <v>5</v>
      </c>
      <c r="AF952" t="n">
        <v>0</v>
      </c>
      <c r="AG952" t="n">
        <v>0</v>
      </c>
      <c r="AH952" t="n">
        <v>1</v>
      </c>
      <c r="AI952" t="n">
        <v>1</v>
      </c>
      <c r="AJ952" t="n">
        <v>3</v>
      </c>
      <c r="AK952" t="n">
        <v>3</v>
      </c>
      <c r="AL952" t="n">
        <v>1</v>
      </c>
      <c r="AM952" t="n">
        <v>2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HYPERLINK("http://catalog.hathitrust.org/Record/006013465","HathiTrust Record")</f>
        <v/>
      </c>
      <c r="AS952">
        <f>HYPERLINK("https://creighton-primo.hosted.exlibrisgroup.com/primo-explore/search?tab=default_tab&amp;search_scope=EVERYTHING&amp;vid=01CRU&amp;lang=en_US&amp;offset=0&amp;query=any,contains,991004117179702656","Catalog Record")</f>
        <v/>
      </c>
      <c r="AT952">
        <f>HYPERLINK("http://www.worldcat.org/oclc/2418087","WorldCat Record")</f>
        <v/>
      </c>
      <c r="AU952" t="inlineStr">
        <is>
          <t>44219738:eng</t>
        </is>
      </c>
      <c r="AV952" t="inlineStr">
        <is>
          <t>2418087</t>
        </is>
      </c>
      <c r="AW952" t="inlineStr">
        <is>
          <t>991004117179702656</t>
        </is>
      </c>
      <c r="AX952" t="inlineStr">
        <is>
          <t>991004117179702656</t>
        </is>
      </c>
      <c r="AY952" t="inlineStr">
        <is>
          <t>2268913050002656</t>
        </is>
      </c>
      <c r="AZ952" t="inlineStr">
        <is>
          <t>BOOK</t>
        </is>
      </c>
      <c r="BB952" t="inlineStr">
        <is>
          <t>9780064920544</t>
        </is>
      </c>
      <c r="BC952" t="inlineStr">
        <is>
          <t>32285001383586</t>
        </is>
      </c>
      <c r="BD952" t="inlineStr">
        <is>
          <t>893699872</t>
        </is>
      </c>
    </row>
    <row r="953">
      <c r="A953" t="inlineStr">
        <is>
          <t>No</t>
        </is>
      </c>
      <c r="B953" t="inlineStr">
        <is>
          <t>BF698.7 .R3 1981</t>
        </is>
      </c>
      <c r="C953" t="inlineStr">
        <is>
          <t>0                      BF 0698700R  3           1981</t>
        </is>
      </c>
      <c r="D953" t="inlineStr">
        <is>
          <t>Assessment with projective techniques : a concise introduction / A.I. Rabin, editor.</t>
        </is>
      </c>
      <c r="F953" t="inlineStr">
        <is>
          <t>No</t>
        </is>
      </c>
      <c r="G953" t="inlineStr">
        <is>
          <t>1</t>
        </is>
      </c>
      <c r="H953" t="inlineStr">
        <is>
          <t>Yes</t>
        </is>
      </c>
      <c r="I953" t="inlineStr">
        <is>
          <t>No</t>
        </is>
      </c>
      <c r="J953" t="inlineStr">
        <is>
          <t>0</t>
        </is>
      </c>
      <c r="L953" t="inlineStr">
        <is>
          <t>New York : Springer Pub. Co., c1981.</t>
        </is>
      </c>
      <c r="M953" t="inlineStr">
        <is>
          <t>1981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BF </t>
        </is>
      </c>
      <c r="S953" t="n">
        <v>4</v>
      </c>
      <c r="T953" t="n">
        <v>11</v>
      </c>
      <c r="U953" t="inlineStr">
        <is>
          <t>1998-11-23</t>
        </is>
      </c>
      <c r="V953" t="inlineStr">
        <is>
          <t>1999-12-17</t>
        </is>
      </c>
      <c r="W953" t="inlineStr">
        <is>
          <t>1993-04-05</t>
        </is>
      </c>
      <c r="X953" t="inlineStr">
        <is>
          <t>1993-04-05</t>
        </is>
      </c>
      <c r="Y953" t="n">
        <v>358</v>
      </c>
      <c r="Z953" t="n">
        <v>317</v>
      </c>
      <c r="AA953" t="n">
        <v>319</v>
      </c>
      <c r="AB953" t="n">
        <v>4</v>
      </c>
      <c r="AC953" t="n">
        <v>4</v>
      </c>
      <c r="AD953" t="n">
        <v>13</v>
      </c>
      <c r="AE953" t="n">
        <v>13</v>
      </c>
      <c r="AF953" t="n">
        <v>5</v>
      </c>
      <c r="AG953" t="n">
        <v>5</v>
      </c>
      <c r="AH953" t="n">
        <v>2</v>
      </c>
      <c r="AI953" t="n">
        <v>2</v>
      </c>
      <c r="AJ953" t="n">
        <v>7</v>
      </c>
      <c r="AK953" t="n">
        <v>7</v>
      </c>
      <c r="AL953" t="n">
        <v>2</v>
      </c>
      <c r="AM953" t="n">
        <v>2</v>
      </c>
      <c r="AN953" t="n">
        <v>0</v>
      </c>
      <c r="AO953" t="n">
        <v>0</v>
      </c>
      <c r="AP953" t="inlineStr">
        <is>
          <t>No</t>
        </is>
      </c>
      <c r="AQ953" t="inlineStr">
        <is>
          <t>Yes</t>
        </is>
      </c>
      <c r="AR953">
        <f>HYPERLINK("http://catalog.hathitrust.org/Record/000098908","HathiTrust Record")</f>
        <v/>
      </c>
      <c r="AS953">
        <f>HYPERLINK("https://creighton-primo.hosted.exlibrisgroup.com/primo-explore/search?tab=default_tab&amp;search_scope=EVERYTHING&amp;vid=01CRU&amp;lang=en_US&amp;offset=0&amp;query=any,contains,991001781579702656","Catalog Record")</f>
        <v/>
      </c>
      <c r="AT953">
        <f>HYPERLINK("http://www.worldcat.org/oclc/6943237","WorldCat Record")</f>
        <v/>
      </c>
      <c r="AU953" t="inlineStr">
        <is>
          <t>890440425:eng</t>
        </is>
      </c>
      <c r="AV953" t="inlineStr">
        <is>
          <t>6943237</t>
        </is>
      </c>
      <c r="AW953" t="inlineStr">
        <is>
          <t>991001781579702656</t>
        </is>
      </c>
      <c r="AX953" t="inlineStr">
        <is>
          <t>991001781579702656</t>
        </is>
      </c>
      <c r="AY953" t="inlineStr">
        <is>
          <t>2257193060002656</t>
        </is>
      </c>
      <c r="AZ953" t="inlineStr">
        <is>
          <t>BOOK</t>
        </is>
      </c>
      <c r="BB953" t="inlineStr">
        <is>
          <t>9780826135506</t>
        </is>
      </c>
      <c r="BC953" t="inlineStr">
        <is>
          <t>32285001601847</t>
        </is>
      </c>
      <c r="BD953" t="inlineStr">
        <is>
          <t>893414504</t>
        </is>
      </c>
    </row>
    <row r="954">
      <c r="A954" t="inlineStr">
        <is>
          <t>No</t>
        </is>
      </c>
      <c r="B954" t="inlineStr">
        <is>
          <t>BF698.8.C6 S3</t>
        </is>
      </c>
      <c r="C954" t="inlineStr">
        <is>
          <t>0                      BF 0698800C  6                  S  3</t>
        </is>
      </c>
      <c r="D954" t="inlineStr">
        <is>
          <t>Color and personality : a manual for the color pyramid test, Farbpyramiden-test / by K. Warner Schiae and Robert Heiss.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Schaie, K. Warner (Klaus Warner), 1928-</t>
        </is>
      </c>
      <c r="L954" t="inlineStr">
        <is>
          <t>Berne : H. Huber Publishers, [1964]</t>
        </is>
      </c>
      <c r="M954" t="inlineStr">
        <is>
          <t>1964</t>
        </is>
      </c>
      <c r="O954" t="inlineStr">
        <is>
          <t>eng</t>
        </is>
      </c>
      <c r="P954" t="inlineStr">
        <is>
          <t xml:space="preserve">sz </t>
        </is>
      </c>
      <c r="R954" t="inlineStr">
        <is>
          <t xml:space="preserve">BF </t>
        </is>
      </c>
      <c r="S954" t="n">
        <v>6</v>
      </c>
      <c r="T954" t="n">
        <v>6</v>
      </c>
      <c r="U954" t="inlineStr">
        <is>
          <t>2007-02-03</t>
        </is>
      </c>
      <c r="V954" t="inlineStr">
        <is>
          <t>2007-02-03</t>
        </is>
      </c>
      <c r="W954" t="inlineStr">
        <is>
          <t>1990-09-06</t>
        </is>
      </c>
      <c r="X954" t="inlineStr">
        <is>
          <t>1990-09-06</t>
        </is>
      </c>
      <c r="Y954" t="n">
        <v>182</v>
      </c>
      <c r="Z954" t="n">
        <v>133</v>
      </c>
      <c r="AA954" t="n">
        <v>137</v>
      </c>
      <c r="AB954" t="n">
        <v>1</v>
      </c>
      <c r="AC954" t="n">
        <v>1</v>
      </c>
      <c r="AD954" t="n">
        <v>4</v>
      </c>
      <c r="AE954" t="n">
        <v>4</v>
      </c>
      <c r="AF954" t="n">
        <v>2</v>
      </c>
      <c r="AG954" t="n">
        <v>2</v>
      </c>
      <c r="AH954" t="n">
        <v>0</v>
      </c>
      <c r="AI954" t="n">
        <v>0</v>
      </c>
      <c r="AJ954" t="n">
        <v>4</v>
      </c>
      <c r="AK954" t="n">
        <v>4</v>
      </c>
      <c r="AL954" t="n">
        <v>0</v>
      </c>
      <c r="AM954" t="n">
        <v>0</v>
      </c>
      <c r="AN954" t="n">
        <v>0</v>
      </c>
      <c r="AO954" t="n">
        <v>0</v>
      </c>
      <c r="AP954" t="inlineStr">
        <is>
          <t>No</t>
        </is>
      </c>
      <c r="AQ954" t="inlineStr">
        <is>
          <t>Yes</t>
        </is>
      </c>
      <c r="AR954">
        <f>HYPERLINK("http://catalog.hathitrust.org/Record/000428767","HathiTrust Record")</f>
        <v/>
      </c>
      <c r="AS954">
        <f>HYPERLINK("https://creighton-primo.hosted.exlibrisgroup.com/primo-explore/search?tab=default_tab&amp;search_scope=EVERYTHING&amp;vid=01CRU&amp;lang=en_US&amp;offset=0&amp;query=any,contains,991004204949702656","Catalog Record")</f>
        <v/>
      </c>
      <c r="AT954">
        <f>HYPERLINK("http://www.worldcat.org/oclc/2662729","WorldCat Record")</f>
        <v/>
      </c>
      <c r="AU954" t="inlineStr">
        <is>
          <t>287266863:eng</t>
        </is>
      </c>
      <c r="AV954" t="inlineStr">
        <is>
          <t>2662729</t>
        </is>
      </c>
      <c r="AW954" t="inlineStr">
        <is>
          <t>991004204949702656</t>
        </is>
      </c>
      <c r="AX954" t="inlineStr">
        <is>
          <t>991004204949702656</t>
        </is>
      </c>
      <c r="AY954" t="inlineStr">
        <is>
          <t>2261423300002656</t>
        </is>
      </c>
      <c r="AZ954" t="inlineStr">
        <is>
          <t>BOOK</t>
        </is>
      </c>
      <c r="BC954" t="inlineStr">
        <is>
          <t>32285000300870</t>
        </is>
      </c>
      <c r="BD954" t="inlineStr">
        <is>
          <t>893810404</t>
        </is>
      </c>
    </row>
    <row r="955">
      <c r="A955" t="inlineStr">
        <is>
          <t>No</t>
        </is>
      </c>
      <c r="B955" t="inlineStr">
        <is>
          <t>BF698.8.H55 H53</t>
        </is>
      </c>
      <c r="C955" t="inlineStr">
        <is>
          <t>0                      BF 0698800H  55                 H  53</t>
        </is>
      </c>
      <c r="D955" t="inlineStr">
        <is>
          <t>The Holtzman inkblot technique; [a handbook for clinical application, by] Evelyn F. Hill. Foreword by Wayne H. Holtzman.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K955" t="inlineStr">
        <is>
          <t>Hill, Evelyn F.</t>
        </is>
      </c>
      <c r="L955" t="inlineStr">
        <is>
          <t>San Francisco, Jossey-Bass, 1972.</t>
        </is>
      </c>
      <c r="M955" t="inlineStr">
        <is>
          <t>1972</t>
        </is>
      </c>
      <c r="N955" t="inlineStr">
        <is>
          <t>[1st ed.]</t>
        </is>
      </c>
      <c r="O955" t="inlineStr">
        <is>
          <t>eng</t>
        </is>
      </c>
      <c r="P955" t="inlineStr">
        <is>
          <t>cau</t>
        </is>
      </c>
      <c r="Q955" t="inlineStr">
        <is>
          <t>The Jossey-Bass behavioral science series</t>
        </is>
      </c>
      <c r="R955" t="inlineStr">
        <is>
          <t xml:space="preserve">BF </t>
        </is>
      </c>
      <c r="S955" t="n">
        <v>2</v>
      </c>
      <c r="T955" t="n">
        <v>2</v>
      </c>
      <c r="U955" t="inlineStr">
        <is>
          <t>2009-02-27</t>
        </is>
      </c>
      <c r="V955" t="inlineStr">
        <is>
          <t>2009-02-27</t>
        </is>
      </c>
      <c r="W955" t="inlineStr">
        <is>
          <t>1996-08-05</t>
        </is>
      </c>
      <c r="X955" t="inlineStr">
        <is>
          <t>1996-08-05</t>
        </is>
      </c>
      <c r="Y955" t="n">
        <v>371</v>
      </c>
      <c r="Z955" t="n">
        <v>328</v>
      </c>
      <c r="AA955" t="n">
        <v>334</v>
      </c>
      <c r="AB955" t="n">
        <v>4</v>
      </c>
      <c r="AC955" t="n">
        <v>4</v>
      </c>
      <c r="AD955" t="n">
        <v>13</v>
      </c>
      <c r="AE955" t="n">
        <v>13</v>
      </c>
      <c r="AF955" t="n">
        <v>3</v>
      </c>
      <c r="AG955" t="n">
        <v>3</v>
      </c>
      <c r="AH955" t="n">
        <v>4</v>
      </c>
      <c r="AI955" t="n">
        <v>4</v>
      </c>
      <c r="AJ955" t="n">
        <v>7</v>
      </c>
      <c r="AK955" t="n">
        <v>7</v>
      </c>
      <c r="AL955" t="n">
        <v>3</v>
      </c>
      <c r="AM955" t="n">
        <v>3</v>
      </c>
      <c r="AN955" t="n">
        <v>0</v>
      </c>
      <c r="AO955" t="n">
        <v>0</v>
      </c>
      <c r="AP955" t="inlineStr">
        <is>
          <t>No</t>
        </is>
      </c>
      <c r="AQ955" t="inlineStr">
        <is>
          <t>Yes</t>
        </is>
      </c>
      <c r="AR955">
        <f>HYPERLINK("http://catalog.hathitrust.org/Record/000316889","HathiTrust Record")</f>
        <v/>
      </c>
      <c r="AS955">
        <f>HYPERLINK("https://creighton-primo.hosted.exlibrisgroup.com/primo-explore/search?tab=default_tab&amp;search_scope=EVERYTHING&amp;vid=01CRU&amp;lang=en_US&amp;offset=0&amp;query=any,contains,991002465159702656","Catalog Record")</f>
        <v/>
      </c>
      <c r="AT955">
        <f>HYPERLINK("http://www.worldcat.org/oclc/357399","WorldCat Record")</f>
        <v/>
      </c>
      <c r="AU955" t="inlineStr">
        <is>
          <t>794341702:eng</t>
        </is>
      </c>
      <c r="AV955" t="inlineStr">
        <is>
          <t>357399</t>
        </is>
      </c>
      <c r="AW955" t="inlineStr">
        <is>
          <t>991002465159702656</t>
        </is>
      </c>
      <c r="AX955" t="inlineStr">
        <is>
          <t>991002465159702656</t>
        </is>
      </c>
      <c r="AY955" t="inlineStr">
        <is>
          <t>2263042870002656</t>
        </is>
      </c>
      <c r="AZ955" t="inlineStr">
        <is>
          <t>BOOK</t>
        </is>
      </c>
      <c r="BB955" t="inlineStr">
        <is>
          <t>9780875891217</t>
        </is>
      </c>
      <c r="BC955" t="inlineStr">
        <is>
          <t>32285002254430</t>
        </is>
      </c>
      <c r="BD955" t="inlineStr">
        <is>
          <t>893773656</t>
        </is>
      </c>
    </row>
    <row r="956">
      <c r="A956" t="inlineStr">
        <is>
          <t>No</t>
        </is>
      </c>
      <c r="B956" t="inlineStr">
        <is>
          <t>BF698.8.M5 G72 1987</t>
        </is>
      </c>
      <c r="C956" t="inlineStr">
        <is>
          <t>0                      BF 0698800M  5                  G  72          1987</t>
        </is>
      </c>
      <c r="D956" t="inlineStr">
        <is>
          <t>The MMPI : a practical guide / John R. Graham.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K956" t="inlineStr">
        <is>
          <t>Graham, John R. (John Robert), 1940-</t>
        </is>
      </c>
      <c r="L956" t="inlineStr">
        <is>
          <t>New York : Oxford University Press, 1987.</t>
        </is>
      </c>
      <c r="M956" t="inlineStr">
        <is>
          <t>1987</t>
        </is>
      </c>
      <c r="N956" t="inlineStr">
        <is>
          <t>2nd ed.</t>
        </is>
      </c>
      <c r="O956" t="inlineStr">
        <is>
          <t>eng</t>
        </is>
      </c>
      <c r="P956" t="inlineStr">
        <is>
          <t>nyu</t>
        </is>
      </c>
      <c r="R956" t="inlineStr">
        <is>
          <t xml:space="preserve">BF </t>
        </is>
      </c>
      <c r="S956" t="n">
        <v>7</v>
      </c>
      <c r="T956" t="n">
        <v>7</v>
      </c>
      <c r="U956" t="inlineStr">
        <is>
          <t>2000-12-13</t>
        </is>
      </c>
      <c r="V956" t="inlineStr">
        <is>
          <t>2000-12-13</t>
        </is>
      </c>
      <c r="W956" t="inlineStr">
        <is>
          <t>1990-03-01</t>
        </is>
      </c>
      <c r="X956" t="inlineStr">
        <is>
          <t>1990-03-01</t>
        </is>
      </c>
      <c r="Y956" t="n">
        <v>666</v>
      </c>
      <c r="Z956" t="n">
        <v>579</v>
      </c>
      <c r="AA956" t="n">
        <v>892</v>
      </c>
      <c r="AB956" t="n">
        <v>3</v>
      </c>
      <c r="AC956" t="n">
        <v>7</v>
      </c>
      <c r="AD956" t="n">
        <v>20</v>
      </c>
      <c r="AE956" t="n">
        <v>34</v>
      </c>
      <c r="AF956" t="n">
        <v>5</v>
      </c>
      <c r="AG956" t="n">
        <v>13</v>
      </c>
      <c r="AH956" t="n">
        <v>7</v>
      </c>
      <c r="AI956" t="n">
        <v>10</v>
      </c>
      <c r="AJ956" t="n">
        <v>12</v>
      </c>
      <c r="AK956" t="n">
        <v>15</v>
      </c>
      <c r="AL956" t="n">
        <v>1</v>
      </c>
      <c r="AM956" t="n">
        <v>4</v>
      </c>
      <c r="AN956" t="n">
        <v>0</v>
      </c>
      <c r="AO956" t="n">
        <v>0</v>
      </c>
      <c r="AP956" t="inlineStr">
        <is>
          <t>No</t>
        </is>
      </c>
      <c r="AQ956" t="inlineStr">
        <is>
          <t>Yes</t>
        </is>
      </c>
      <c r="AR956">
        <f>HYPERLINK("http://catalog.hathitrust.org/Record/000872627","HathiTrust Record")</f>
        <v/>
      </c>
      <c r="AS956">
        <f>HYPERLINK("https://creighton-primo.hosted.exlibrisgroup.com/primo-explore/search?tab=default_tab&amp;search_scope=EVERYTHING&amp;vid=01CRU&amp;lang=en_US&amp;offset=0&amp;query=any,contains,991000986539702656","Catalog Record")</f>
        <v/>
      </c>
      <c r="AT956">
        <f>HYPERLINK("http://www.worldcat.org/oclc/15082456","WorldCat Record")</f>
        <v/>
      </c>
      <c r="AU956" t="inlineStr">
        <is>
          <t>5910420:eng</t>
        </is>
      </c>
      <c r="AV956" t="inlineStr">
        <is>
          <t>15082456</t>
        </is>
      </c>
      <c r="AW956" t="inlineStr">
        <is>
          <t>991000986539702656</t>
        </is>
      </c>
      <c r="AX956" t="inlineStr">
        <is>
          <t>991000986539702656</t>
        </is>
      </c>
      <c r="AY956" t="inlineStr">
        <is>
          <t>2257157990002656</t>
        </is>
      </c>
      <c r="AZ956" t="inlineStr">
        <is>
          <t>BOOK</t>
        </is>
      </c>
      <c r="BB956" t="inlineStr">
        <is>
          <t>9780195042634</t>
        </is>
      </c>
      <c r="BC956" t="inlineStr">
        <is>
          <t>32285000073543</t>
        </is>
      </c>
      <c r="BD956" t="inlineStr">
        <is>
          <t>893891207</t>
        </is>
      </c>
    </row>
    <row r="957">
      <c r="A957" t="inlineStr">
        <is>
          <t>No</t>
        </is>
      </c>
      <c r="B957" t="inlineStr">
        <is>
          <t>BF698.8.R5 S3</t>
        </is>
      </c>
      <c r="C957" t="inlineStr">
        <is>
          <t>0                      BF 0698800R  5                  S  3</t>
        </is>
      </c>
      <c r="D957" t="inlineStr">
        <is>
          <t>Experiential foundations of Rorschach's test [by] Ernest G. Schachtel.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K957" t="inlineStr">
        <is>
          <t>Schachtel, Ernest G.</t>
        </is>
      </c>
      <c r="L957" t="inlineStr">
        <is>
          <t>New York, Basic Books [1966]</t>
        </is>
      </c>
      <c r="M957" t="inlineStr">
        <is>
          <t>1966</t>
        </is>
      </c>
      <c r="O957" t="inlineStr">
        <is>
          <t>eng</t>
        </is>
      </c>
      <c r="P957" t="inlineStr">
        <is>
          <t>nyu</t>
        </is>
      </c>
      <c r="R957" t="inlineStr">
        <is>
          <t xml:space="preserve">BF </t>
        </is>
      </c>
      <c r="S957" t="n">
        <v>3</v>
      </c>
      <c r="T957" t="n">
        <v>3</v>
      </c>
      <c r="U957" t="inlineStr">
        <is>
          <t>1999-01-13</t>
        </is>
      </c>
      <c r="V957" t="inlineStr">
        <is>
          <t>1999-01-13</t>
        </is>
      </c>
      <c r="W957" t="inlineStr">
        <is>
          <t>1996-08-05</t>
        </is>
      </c>
      <c r="X957" t="inlineStr">
        <is>
          <t>1996-08-05</t>
        </is>
      </c>
      <c r="Y957" t="n">
        <v>394</v>
      </c>
      <c r="Z957" t="n">
        <v>339</v>
      </c>
      <c r="AA957" t="n">
        <v>427</v>
      </c>
      <c r="AB957" t="n">
        <v>2</v>
      </c>
      <c r="AC957" t="n">
        <v>2</v>
      </c>
      <c r="AD957" t="n">
        <v>19</v>
      </c>
      <c r="AE957" t="n">
        <v>20</v>
      </c>
      <c r="AF957" t="n">
        <v>7</v>
      </c>
      <c r="AG957" t="n">
        <v>7</v>
      </c>
      <c r="AH957" t="n">
        <v>5</v>
      </c>
      <c r="AI957" t="n">
        <v>5</v>
      </c>
      <c r="AJ957" t="n">
        <v>10</v>
      </c>
      <c r="AK957" t="n">
        <v>11</v>
      </c>
      <c r="AL957" t="n">
        <v>1</v>
      </c>
      <c r="AM957" t="n">
        <v>1</v>
      </c>
      <c r="AN957" t="n">
        <v>0</v>
      </c>
      <c r="AO957" t="n">
        <v>0</v>
      </c>
      <c r="AP957" t="inlineStr">
        <is>
          <t>No</t>
        </is>
      </c>
      <c r="AQ957" t="inlineStr">
        <is>
          <t>Yes</t>
        </is>
      </c>
      <c r="AR957">
        <f>HYPERLINK("http://catalog.hathitrust.org/Record/000285189","HathiTrust Record")</f>
        <v/>
      </c>
      <c r="AS957">
        <f>HYPERLINK("https://creighton-primo.hosted.exlibrisgroup.com/primo-explore/search?tab=default_tab&amp;search_scope=EVERYTHING&amp;vid=01CRU&amp;lang=en_US&amp;offset=0&amp;query=any,contains,991004204979702656","Catalog Record")</f>
        <v/>
      </c>
      <c r="AT957">
        <f>HYPERLINK("http://www.worldcat.org/oclc/2662787","WorldCat Record")</f>
        <v/>
      </c>
      <c r="AU957" t="inlineStr">
        <is>
          <t>5629502:eng</t>
        </is>
      </c>
      <c r="AV957" t="inlineStr">
        <is>
          <t>2662787</t>
        </is>
      </c>
      <c r="AW957" t="inlineStr">
        <is>
          <t>991004204979702656</t>
        </is>
      </c>
      <c r="AX957" t="inlineStr">
        <is>
          <t>991004204979702656</t>
        </is>
      </c>
      <c r="AY957" t="inlineStr">
        <is>
          <t>2261431510002656</t>
        </is>
      </c>
      <c r="AZ957" t="inlineStr">
        <is>
          <t>BOOK</t>
        </is>
      </c>
      <c r="BC957" t="inlineStr">
        <is>
          <t>32285002254505</t>
        </is>
      </c>
      <c r="BD957" t="inlineStr">
        <is>
          <t>893247284</t>
        </is>
      </c>
    </row>
    <row r="958">
      <c r="A958" t="inlineStr">
        <is>
          <t>No</t>
        </is>
      </c>
      <c r="B958" t="inlineStr">
        <is>
          <t>BF698.8.S5 K37</t>
        </is>
      </c>
      <c r="C958" t="inlineStr">
        <is>
          <t>0                      BF 0698800S  5                  K  37</t>
        </is>
      </c>
      <c r="D958" t="inlineStr">
        <is>
          <t>A guide to the clinical use of the 16 PF / Samuel Karson and Jerry W. O'Dell.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K958" t="inlineStr">
        <is>
          <t>Karson, Samuel.</t>
        </is>
      </c>
      <c r="L958" t="inlineStr">
        <is>
          <t>Champaign, Ill. : Institute for Personality and Ability Testing, c1976.</t>
        </is>
      </c>
      <c r="M958" t="inlineStr">
        <is>
          <t>1976</t>
        </is>
      </c>
      <c r="O958" t="inlineStr">
        <is>
          <t>eng</t>
        </is>
      </c>
      <c r="P958" t="inlineStr">
        <is>
          <t>ilu</t>
        </is>
      </c>
      <c r="R958" t="inlineStr">
        <is>
          <t xml:space="preserve">BF </t>
        </is>
      </c>
      <c r="S958" t="n">
        <v>1</v>
      </c>
      <c r="T958" t="n">
        <v>1</v>
      </c>
      <c r="U958" t="inlineStr">
        <is>
          <t>2008-11-02</t>
        </is>
      </c>
      <c r="V958" t="inlineStr">
        <is>
          <t>2008-11-02</t>
        </is>
      </c>
      <c r="W958" t="inlineStr">
        <is>
          <t>1993-04-05</t>
        </is>
      </c>
      <c r="X958" t="inlineStr">
        <is>
          <t>1993-04-05</t>
        </is>
      </c>
      <c r="Y958" t="n">
        <v>222</v>
      </c>
      <c r="Z958" t="n">
        <v>185</v>
      </c>
      <c r="AA958" t="n">
        <v>201</v>
      </c>
      <c r="AB958" t="n">
        <v>1</v>
      </c>
      <c r="AC958" t="n">
        <v>1</v>
      </c>
      <c r="AD958" t="n">
        <v>7</v>
      </c>
      <c r="AE958" t="n">
        <v>9</v>
      </c>
      <c r="AF958" t="n">
        <v>1</v>
      </c>
      <c r="AG958" t="n">
        <v>2</v>
      </c>
      <c r="AH958" t="n">
        <v>2</v>
      </c>
      <c r="AI958" t="n">
        <v>3</v>
      </c>
      <c r="AJ958" t="n">
        <v>6</v>
      </c>
      <c r="AK958" t="n">
        <v>6</v>
      </c>
      <c r="AL958" t="n">
        <v>0</v>
      </c>
      <c r="AM958" t="n">
        <v>0</v>
      </c>
      <c r="AN958" t="n">
        <v>0</v>
      </c>
      <c r="AO958" t="n">
        <v>0</v>
      </c>
      <c r="AP958" t="inlineStr">
        <is>
          <t>No</t>
        </is>
      </c>
      <c r="AQ958" t="inlineStr">
        <is>
          <t>Yes</t>
        </is>
      </c>
      <c r="AR958">
        <f>HYPERLINK("http://catalog.hathitrust.org/Record/003872208","HathiTrust Record")</f>
        <v/>
      </c>
      <c r="AS958">
        <f>HYPERLINK("https://creighton-primo.hosted.exlibrisgroup.com/primo-explore/search?tab=default_tab&amp;search_scope=EVERYTHING&amp;vid=01CRU&amp;lang=en_US&amp;offset=0&amp;query=any,contains,991004152979702656","Catalog Record")</f>
        <v/>
      </c>
      <c r="AT958">
        <f>HYPERLINK("http://www.worldcat.org/oclc/2530587","WorldCat Record")</f>
        <v/>
      </c>
      <c r="AU958" t="inlineStr">
        <is>
          <t>4495049100:eng</t>
        </is>
      </c>
      <c r="AV958" t="inlineStr">
        <is>
          <t>2530587</t>
        </is>
      </c>
      <c r="AW958" t="inlineStr">
        <is>
          <t>991004152979702656</t>
        </is>
      </c>
      <c r="AX958" t="inlineStr">
        <is>
          <t>991004152979702656</t>
        </is>
      </c>
      <c r="AY958" t="inlineStr">
        <is>
          <t>2265272670002656</t>
        </is>
      </c>
      <c r="AZ958" t="inlineStr">
        <is>
          <t>BOOK</t>
        </is>
      </c>
      <c r="BC958" t="inlineStr">
        <is>
          <t>32285001601870</t>
        </is>
      </c>
      <c r="BD958" t="inlineStr">
        <is>
          <t>893417294</t>
        </is>
      </c>
    </row>
    <row r="959">
      <c r="A959" t="inlineStr">
        <is>
          <t>No</t>
        </is>
      </c>
      <c r="B959" t="inlineStr">
        <is>
          <t>BF698.8.T4 F57</t>
        </is>
      </c>
      <c r="C959" t="inlineStr">
        <is>
          <t>0                      BF 0698800T  4                  F  57</t>
        </is>
      </c>
      <c r="D959" t="inlineStr">
        <is>
          <t>The self concept and psychopathology, by William H. Fitts.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K959" t="inlineStr">
        <is>
          <t>Fitts, William Howard.</t>
        </is>
      </c>
      <c r="L959" t="inlineStr">
        <is>
          <t>Nashville, Dede Wallace Center, 1972.</t>
        </is>
      </c>
      <c r="M959" t="inlineStr">
        <is>
          <t>1972</t>
        </is>
      </c>
      <c r="O959" t="inlineStr">
        <is>
          <t>eng</t>
        </is>
      </c>
      <c r="P959" t="inlineStr">
        <is>
          <t>tnu</t>
        </is>
      </c>
      <c r="Q959" t="inlineStr">
        <is>
          <t>Dede Wallace Center. Research monograph no. 4</t>
        </is>
      </c>
      <c r="R959" t="inlineStr">
        <is>
          <t xml:space="preserve">BF </t>
        </is>
      </c>
      <c r="S959" t="n">
        <v>1</v>
      </c>
      <c r="T959" t="n">
        <v>1</v>
      </c>
      <c r="U959" t="inlineStr">
        <is>
          <t>2002-07-12</t>
        </is>
      </c>
      <c r="V959" t="inlineStr">
        <is>
          <t>2002-07-12</t>
        </is>
      </c>
      <c r="W959" t="inlineStr">
        <is>
          <t>1996-08-05</t>
        </is>
      </c>
      <c r="X959" t="inlineStr">
        <is>
          <t>1996-08-05</t>
        </is>
      </c>
      <c r="Y959" t="n">
        <v>249</v>
      </c>
      <c r="Z959" t="n">
        <v>228</v>
      </c>
      <c r="AA959" t="n">
        <v>237</v>
      </c>
      <c r="AB959" t="n">
        <v>2</v>
      </c>
      <c r="AC959" t="n">
        <v>2</v>
      </c>
      <c r="AD959" t="n">
        <v>10</v>
      </c>
      <c r="AE959" t="n">
        <v>10</v>
      </c>
      <c r="AF959" t="n">
        <v>3</v>
      </c>
      <c r="AG959" t="n">
        <v>3</v>
      </c>
      <c r="AH959" t="n">
        <v>1</v>
      </c>
      <c r="AI959" t="n">
        <v>1</v>
      </c>
      <c r="AJ959" t="n">
        <v>7</v>
      </c>
      <c r="AK959" t="n">
        <v>7</v>
      </c>
      <c r="AL959" t="n">
        <v>1</v>
      </c>
      <c r="AM959" t="n">
        <v>1</v>
      </c>
      <c r="AN959" t="n">
        <v>0</v>
      </c>
      <c r="AO959" t="n">
        <v>0</v>
      </c>
      <c r="AP959" t="inlineStr">
        <is>
          <t>No</t>
        </is>
      </c>
      <c r="AQ959" t="inlineStr">
        <is>
          <t>Yes</t>
        </is>
      </c>
      <c r="AR959">
        <f>HYPERLINK("http://catalog.hathitrust.org/Record/000427277","HathiTrust Record")</f>
        <v/>
      </c>
      <c r="AS959">
        <f>HYPERLINK("https://creighton-primo.hosted.exlibrisgroup.com/primo-explore/search?tab=default_tab&amp;search_scope=EVERYTHING&amp;vid=01CRU&amp;lang=en_US&amp;offset=0&amp;query=any,contains,991002394389702656","Catalog Record")</f>
        <v/>
      </c>
      <c r="AT959">
        <f>HYPERLINK("http://www.worldcat.org/oclc/333758","WorldCat Record")</f>
        <v/>
      </c>
      <c r="AU959" t="inlineStr">
        <is>
          <t>1444098:eng</t>
        </is>
      </c>
      <c r="AV959" t="inlineStr">
        <is>
          <t>333758</t>
        </is>
      </c>
      <c r="AW959" t="inlineStr">
        <is>
          <t>991002394389702656</t>
        </is>
      </c>
      <c r="AX959" t="inlineStr">
        <is>
          <t>991002394389702656</t>
        </is>
      </c>
      <c r="AY959" t="inlineStr">
        <is>
          <t>2259622370002656</t>
        </is>
      </c>
      <c r="AZ959" t="inlineStr">
        <is>
          <t>BOOK</t>
        </is>
      </c>
      <c r="BC959" t="inlineStr">
        <is>
          <t>32285002254521</t>
        </is>
      </c>
      <c r="BD959" t="inlineStr">
        <is>
          <t>893697715</t>
        </is>
      </c>
    </row>
    <row r="960">
      <c r="A960" t="inlineStr">
        <is>
          <t>No</t>
        </is>
      </c>
      <c r="B960" t="inlineStr">
        <is>
          <t>BF698.9.B5 E9</t>
        </is>
      </c>
      <c r="C960" t="inlineStr">
        <is>
          <t>0                      BF 0698900B  5                  E  9</t>
        </is>
      </c>
      <c r="D960" t="inlineStr">
        <is>
          <t>The biological basis of personality, by H. J. Eysenck.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K960" t="inlineStr">
        <is>
          <t>Eysenck, H. J. (Hans Jurgen), 1916-1997.</t>
        </is>
      </c>
      <c r="L960" t="inlineStr">
        <is>
          <t>Springfield, Ill., Thomas [1967]</t>
        </is>
      </c>
      <c r="M960" t="inlineStr">
        <is>
          <t>1967</t>
        </is>
      </c>
      <c r="O960" t="inlineStr">
        <is>
          <t>eng</t>
        </is>
      </c>
      <c r="P960" t="inlineStr">
        <is>
          <t>ilu</t>
        </is>
      </c>
      <c r="Q960" t="inlineStr">
        <is>
          <t>American lecture series, publication no. 689. A monograph in the Bannerstone division of American lectures in living chemistry</t>
        </is>
      </c>
      <c r="R960" t="inlineStr">
        <is>
          <t xml:space="preserve">BF </t>
        </is>
      </c>
      <c r="S960" t="n">
        <v>2</v>
      </c>
      <c r="T960" t="n">
        <v>2</v>
      </c>
      <c r="U960" t="inlineStr">
        <is>
          <t>2002-03-25</t>
        </is>
      </c>
      <c r="V960" t="inlineStr">
        <is>
          <t>2002-03-25</t>
        </is>
      </c>
      <c r="W960" t="inlineStr">
        <is>
          <t>1993-04-05</t>
        </is>
      </c>
      <c r="X960" t="inlineStr">
        <is>
          <t>1993-04-05</t>
        </is>
      </c>
      <c r="Y960" t="n">
        <v>783</v>
      </c>
      <c r="Z960" t="n">
        <v>613</v>
      </c>
      <c r="AA960" t="n">
        <v>705</v>
      </c>
      <c r="AB960" t="n">
        <v>3</v>
      </c>
      <c r="AC960" t="n">
        <v>3</v>
      </c>
      <c r="AD960" t="n">
        <v>28</v>
      </c>
      <c r="AE960" t="n">
        <v>33</v>
      </c>
      <c r="AF960" t="n">
        <v>10</v>
      </c>
      <c r="AG960" t="n">
        <v>12</v>
      </c>
      <c r="AH960" t="n">
        <v>4</v>
      </c>
      <c r="AI960" t="n">
        <v>6</v>
      </c>
      <c r="AJ960" t="n">
        <v>18</v>
      </c>
      <c r="AK960" t="n">
        <v>21</v>
      </c>
      <c r="AL960" t="n">
        <v>2</v>
      </c>
      <c r="AM960" t="n">
        <v>2</v>
      </c>
      <c r="AN960" t="n">
        <v>0</v>
      </c>
      <c r="AO960" t="n">
        <v>0</v>
      </c>
      <c r="AP960" t="inlineStr">
        <is>
          <t>No</t>
        </is>
      </c>
      <c r="AQ960" t="inlineStr">
        <is>
          <t>Yes</t>
        </is>
      </c>
      <c r="AR960">
        <f>HYPERLINK("http://catalog.hathitrust.org/Record/000427815","HathiTrust Record")</f>
        <v/>
      </c>
      <c r="AS960">
        <f>HYPERLINK("https://creighton-primo.hosted.exlibrisgroup.com/primo-explore/search?tab=default_tab&amp;search_scope=EVERYTHING&amp;vid=01CRU&amp;lang=en_US&amp;offset=0&amp;query=any,contains,991000971749702656","Catalog Record")</f>
        <v/>
      </c>
      <c r="AT960">
        <f>HYPERLINK("http://www.worldcat.org/oclc/170458","WorldCat Record")</f>
        <v/>
      </c>
      <c r="AU960" t="inlineStr">
        <is>
          <t>115855224:eng</t>
        </is>
      </c>
      <c r="AV960" t="inlineStr">
        <is>
          <t>170458</t>
        </is>
      </c>
      <c r="AW960" t="inlineStr">
        <is>
          <t>991000971749702656</t>
        </is>
      </c>
      <c r="AX960" t="inlineStr">
        <is>
          <t>991000971749702656</t>
        </is>
      </c>
      <c r="AY960" t="inlineStr">
        <is>
          <t>2269205550002656</t>
        </is>
      </c>
      <c r="AZ960" t="inlineStr">
        <is>
          <t>BOOK</t>
        </is>
      </c>
      <c r="BC960" t="inlineStr">
        <is>
          <t>32285001601888</t>
        </is>
      </c>
      <c r="BD960" t="inlineStr">
        <is>
          <t>893884923</t>
        </is>
      </c>
    </row>
    <row r="961">
      <c r="A961" t="inlineStr">
        <is>
          <t>No</t>
        </is>
      </c>
      <c r="B961" t="inlineStr">
        <is>
          <t>BF698.9.C63 K74 1990</t>
        </is>
      </c>
      <c r="C961" t="inlineStr">
        <is>
          <t>0                      BF 0698900C  63                 K  74          1990</t>
        </is>
      </c>
      <c r="D961" t="inlineStr">
        <is>
          <t>The cognitive foundations of personality traits / Shulamith Kreitler and Hans Kreitler.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K961" t="inlineStr">
        <is>
          <t>Kreitler, Shulamith.</t>
        </is>
      </c>
      <c r="L961" t="inlineStr">
        <is>
          <t>New York, N.Y. : Plenum Press, c1990.</t>
        </is>
      </c>
      <c r="M961" t="inlineStr">
        <is>
          <t>1990</t>
        </is>
      </c>
      <c r="O961" t="inlineStr">
        <is>
          <t>eng</t>
        </is>
      </c>
      <c r="P961" t="inlineStr">
        <is>
          <t>nyu</t>
        </is>
      </c>
      <c r="Q961" t="inlineStr">
        <is>
          <t>Emotions, personality, and psychotherapy</t>
        </is>
      </c>
      <c r="R961" t="inlineStr">
        <is>
          <t xml:space="preserve">BF </t>
        </is>
      </c>
      <c r="S961" t="n">
        <v>1</v>
      </c>
      <c r="T961" t="n">
        <v>1</v>
      </c>
      <c r="U961" t="inlineStr">
        <is>
          <t>2000-04-25</t>
        </is>
      </c>
      <c r="V961" t="inlineStr">
        <is>
          <t>2000-04-25</t>
        </is>
      </c>
      <c r="W961" t="inlineStr">
        <is>
          <t>1992-06-03</t>
        </is>
      </c>
      <c r="X961" t="inlineStr">
        <is>
          <t>1992-06-03</t>
        </is>
      </c>
      <c r="Y961" t="n">
        <v>402</v>
      </c>
      <c r="Z961" t="n">
        <v>307</v>
      </c>
      <c r="AA961" t="n">
        <v>328</v>
      </c>
      <c r="AB961" t="n">
        <v>2</v>
      </c>
      <c r="AC961" t="n">
        <v>2</v>
      </c>
      <c r="AD961" t="n">
        <v>20</v>
      </c>
      <c r="AE961" t="n">
        <v>22</v>
      </c>
      <c r="AF961" t="n">
        <v>8</v>
      </c>
      <c r="AG961" t="n">
        <v>10</v>
      </c>
      <c r="AH961" t="n">
        <v>6</v>
      </c>
      <c r="AI961" t="n">
        <v>6</v>
      </c>
      <c r="AJ961" t="n">
        <v>12</v>
      </c>
      <c r="AK961" t="n">
        <v>13</v>
      </c>
      <c r="AL961" t="n">
        <v>1</v>
      </c>
      <c r="AM961" t="n">
        <v>1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HYPERLINK("http://catalog.hathitrust.org/Record/001949946","HathiTrust Record")</f>
        <v/>
      </c>
      <c r="AS961">
        <f>HYPERLINK("https://creighton-primo.hosted.exlibrisgroup.com/primo-explore/search?tab=default_tab&amp;search_scope=EVERYTHING&amp;vid=01CRU&amp;lang=en_US&amp;offset=0&amp;query=any,contains,991001551039702656","Catalog Record")</f>
        <v/>
      </c>
      <c r="AT961">
        <f>HYPERLINK("http://www.worldcat.org/oclc/20220051","WorldCat Record")</f>
        <v/>
      </c>
      <c r="AU961" t="inlineStr">
        <is>
          <t>21043082:eng</t>
        </is>
      </c>
      <c r="AV961" t="inlineStr">
        <is>
          <t>20220051</t>
        </is>
      </c>
      <c r="AW961" t="inlineStr">
        <is>
          <t>991001551039702656</t>
        </is>
      </c>
      <c r="AX961" t="inlineStr">
        <is>
          <t>991001551039702656</t>
        </is>
      </c>
      <c r="AY961" t="inlineStr">
        <is>
          <t>2261330190002656</t>
        </is>
      </c>
      <c r="AZ961" t="inlineStr">
        <is>
          <t>BOOK</t>
        </is>
      </c>
      <c r="BB961" t="inlineStr">
        <is>
          <t>9780306431791</t>
        </is>
      </c>
      <c r="BC961" t="inlineStr">
        <is>
          <t>32285001126589</t>
        </is>
      </c>
      <c r="BD961" t="inlineStr">
        <is>
          <t>893615203</t>
        </is>
      </c>
    </row>
    <row r="962">
      <c r="A962" t="inlineStr">
        <is>
          <t>No</t>
        </is>
      </c>
      <c r="B962" t="inlineStr">
        <is>
          <t>BF698.9.C8 W33 1970</t>
        </is>
      </c>
      <c r="C962" t="inlineStr">
        <is>
          <t>0                      BF 0698900C  8                  W  33          1970</t>
        </is>
      </c>
      <c r="D962" t="inlineStr">
        <is>
          <t>Culture and personality [by] Anthony F. C. Wallace.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Wallace, Anthony F. C., 1923-</t>
        </is>
      </c>
      <c r="L962" t="inlineStr">
        <is>
          <t>New York, Random House [1970]</t>
        </is>
      </c>
      <c r="M962" t="inlineStr">
        <is>
          <t>1970</t>
        </is>
      </c>
      <c r="N962" t="inlineStr">
        <is>
          <t>2d ed.</t>
        </is>
      </c>
      <c r="O962" t="inlineStr">
        <is>
          <t>eng</t>
        </is>
      </c>
      <c r="P962" t="inlineStr">
        <is>
          <t>nyu</t>
        </is>
      </c>
      <c r="Q962" t="inlineStr">
        <is>
          <t>Studies in anthropology, AS 1</t>
        </is>
      </c>
      <c r="R962" t="inlineStr">
        <is>
          <t xml:space="preserve">BF </t>
        </is>
      </c>
      <c r="S962" t="n">
        <v>3</v>
      </c>
      <c r="T962" t="n">
        <v>3</v>
      </c>
      <c r="U962" t="inlineStr">
        <is>
          <t>2006-04-02</t>
        </is>
      </c>
      <c r="V962" t="inlineStr">
        <is>
          <t>2006-04-02</t>
        </is>
      </c>
      <c r="W962" t="inlineStr">
        <is>
          <t>1993-04-05</t>
        </is>
      </c>
      <c r="X962" t="inlineStr">
        <is>
          <t>1993-04-05</t>
        </is>
      </c>
      <c r="Y962" t="n">
        <v>620</v>
      </c>
      <c r="Z962" t="n">
        <v>491</v>
      </c>
      <c r="AA962" t="n">
        <v>875</v>
      </c>
      <c r="AB962" t="n">
        <v>3</v>
      </c>
      <c r="AC962" t="n">
        <v>6</v>
      </c>
      <c r="AD962" t="n">
        <v>20</v>
      </c>
      <c r="AE962" t="n">
        <v>36</v>
      </c>
      <c r="AF962" t="n">
        <v>9</v>
      </c>
      <c r="AG962" t="n">
        <v>17</v>
      </c>
      <c r="AH962" t="n">
        <v>5</v>
      </c>
      <c r="AI962" t="n">
        <v>6</v>
      </c>
      <c r="AJ962" t="n">
        <v>8</v>
      </c>
      <c r="AK962" t="n">
        <v>14</v>
      </c>
      <c r="AL962" t="n">
        <v>1</v>
      </c>
      <c r="AM962" t="n">
        <v>4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HYPERLINK("http://catalog.hathitrust.org/Record/000001588","HathiTrust Record")</f>
        <v/>
      </c>
      <c r="AS962">
        <f>HYPERLINK("https://creighton-primo.hosted.exlibrisgroup.com/primo-explore/search?tab=default_tab&amp;search_scope=EVERYTHING&amp;vid=01CRU&amp;lang=en_US&amp;offset=0&amp;query=any,contains,991000651339702656","Catalog Record")</f>
        <v/>
      </c>
      <c r="AT962">
        <f>HYPERLINK("http://www.worldcat.org/oclc/113505","WorldCat Record")</f>
        <v/>
      </c>
      <c r="AU962" t="inlineStr">
        <is>
          <t>1228936:eng</t>
        </is>
      </c>
      <c r="AV962" t="inlineStr">
        <is>
          <t>113505</t>
        </is>
      </c>
      <c r="AW962" t="inlineStr">
        <is>
          <t>991000651339702656</t>
        </is>
      </c>
      <c r="AX962" t="inlineStr">
        <is>
          <t>991000651339702656</t>
        </is>
      </c>
      <c r="AY962" t="inlineStr">
        <is>
          <t>2267659070002656</t>
        </is>
      </c>
      <c r="AZ962" t="inlineStr">
        <is>
          <t>BOOK</t>
        </is>
      </c>
      <c r="BC962" t="inlineStr">
        <is>
          <t>32285001601912</t>
        </is>
      </c>
      <c r="BD962" t="inlineStr">
        <is>
          <t>893407399</t>
        </is>
      </c>
    </row>
    <row r="963">
      <c r="A963" t="inlineStr">
        <is>
          <t>No</t>
        </is>
      </c>
      <c r="B963" t="inlineStr">
        <is>
          <t>BF701 .E4313 1989</t>
        </is>
      </c>
      <c r="C963" t="inlineStr">
        <is>
          <t>0                      BF 0701000E  4313        1989</t>
        </is>
      </c>
      <c r="D963" t="inlineStr">
        <is>
          <t>Human ethology / Irenäus Eibl-Eibesfeldt.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Eibl-Eibesfeldt, Irenäus.</t>
        </is>
      </c>
      <c r="L963" t="inlineStr">
        <is>
          <t>New York : Aldine De Gruyter, c1989.</t>
        </is>
      </c>
      <c r="M963" t="inlineStr">
        <is>
          <t>1989</t>
        </is>
      </c>
      <c r="O963" t="inlineStr">
        <is>
          <t>eng</t>
        </is>
      </c>
      <c r="P963" t="inlineStr">
        <is>
          <t>nyu</t>
        </is>
      </c>
      <c r="Q963" t="inlineStr">
        <is>
          <t>Foundations of human behavior</t>
        </is>
      </c>
      <c r="R963" t="inlineStr">
        <is>
          <t xml:space="preserve">BF </t>
        </is>
      </c>
      <c r="S963" t="n">
        <v>4</v>
      </c>
      <c r="T963" t="n">
        <v>4</v>
      </c>
      <c r="U963" t="inlineStr">
        <is>
          <t>2010-09-22</t>
        </is>
      </c>
      <c r="V963" t="inlineStr">
        <is>
          <t>2010-09-22</t>
        </is>
      </c>
      <c r="W963" t="inlineStr">
        <is>
          <t>1991-03-08</t>
        </is>
      </c>
      <c r="X963" t="inlineStr">
        <is>
          <t>1991-03-08</t>
        </is>
      </c>
      <c r="Y963" t="n">
        <v>716</v>
      </c>
      <c r="Z963" t="n">
        <v>598</v>
      </c>
      <c r="AA963" t="n">
        <v>633</v>
      </c>
      <c r="AB963" t="n">
        <v>6</v>
      </c>
      <c r="AC963" t="n">
        <v>6</v>
      </c>
      <c r="AD963" t="n">
        <v>30</v>
      </c>
      <c r="AE963" t="n">
        <v>31</v>
      </c>
      <c r="AF963" t="n">
        <v>13</v>
      </c>
      <c r="AG963" t="n">
        <v>13</v>
      </c>
      <c r="AH963" t="n">
        <v>6</v>
      </c>
      <c r="AI963" t="n">
        <v>7</v>
      </c>
      <c r="AJ963" t="n">
        <v>13</v>
      </c>
      <c r="AK963" t="n">
        <v>13</v>
      </c>
      <c r="AL963" t="n">
        <v>5</v>
      </c>
      <c r="AM963" t="n">
        <v>5</v>
      </c>
      <c r="AN963" t="n">
        <v>0</v>
      </c>
      <c r="AO963" t="n">
        <v>0</v>
      </c>
      <c r="AP963" t="inlineStr">
        <is>
          <t>No</t>
        </is>
      </c>
      <c r="AQ963" t="inlineStr">
        <is>
          <t>No</t>
        </is>
      </c>
      <c r="AS963">
        <f>HYPERLINK("https://creighton-primo.hosted.exlibrisgroup.com/primo-explore/search?tab=default_tab&amp;search_scope=EVERYTHING&amp;vid=01CRU&amp;lang=en_US&amp;offset=0&amp;query=any,contains,991001394549702656","Catalog Record")</f>
        <v/>
      </c>
      <c r="AT963">
        <f>HYPERLINK("http://www.worldcat.org/oclc/18780530","WorldCat Record")</f>
        <v/>
      </c>
      <c r="AU963" t="inlineStr">
        <is>
          <t>2864086175:eng</t>
        </is>
      </c>
      <c r="AV963" t="inlineStr">
        <is>
          <t>18780530</t>
        </is>
      </c>
      <c r="AW963" t="inlineStr">
        <is>
          <t>991001394549702656</t>
        </is>
      </c>
      <c r="AX963" t="inlineStr">
        <is>
          <t>991001394549702656</t>
        </is>
      </c>
      <c r="AY963" t="inlineStr">
        <is>
          <t>2260491440002656</t>
        </is>
      </c>
      <c r="AZ963" t="inlineStr">
        <is>
          <t>BOOK</t>
        </is>
      </c>
      <c r="BB963" t="inlineStr">
        <is>
          <t>9780202020303</t>
        </is>
      </c>
      <c r="BC963" t="inlineStr">
        <is>
          <t>32285000494293</t>
        </is>
      </c>
      <c r="BD963" t="inlineStr">
        <is>
          <t>893256220</t>
        </is>
      </c>
    </row>
    <row r="964">
      <c r="A964" t="inlineStr">
        <is>
          <t>No</t>
        </is>
      </c>
      <c r="B964" t="inlineStr">
        <is>
          <t>BF701 .G23</t>
        </is>
      </c>
      <c r="C964" t="inlineStr">
        <is>
          <t>0                      BF 0701000G  23</t>
        </is>
      </c>
      <c r="D964" t="inlineStr">
        <is>
          <t>Inquiries into human faculty and its development, by Francis Galton, F. R. S.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Galton, Francis, 1822-1911.</t>
        </is>
      </c>
      <c r="L964" t="inlineStr">
        <is>
          <t>London, J. M. Dent &amp; co.; New York, E. P. Dutton &amp; co. [1908]</t>
        </is>
      </c>
      <c r="M964" t="inlineStr">
        <is>
          <t>1908</t>
        </is>
      </c>
      <c r="O964" t="inlineStr">
        <is>
          <t>eng</t>
        </is>
      </c>
      <c r="P964" t="inlineStr">
        <is>
          <t xml:space="preserve">xx </t>
        </is>
      </c>
      <c r="Q964" t="inlineStr">
        <is>
          <t>Everyman's library. Science</t>
        </is>
      </c>
      <c r="R964" t="inlineStr">
        <is>
          <t xml:space="preserve">BF </t>
        </is>
      </c>
      <c r="S964" t="n">
        <v>4</v>
      </c>
      <c r="T964" t="n">
        <v>4</v>
      </c>
      <c r="U964" t="inlineStr">
        <is>
          <t>2007-02-07</t>
        </is>
      </c>
      <c r="V964" t="inlineStr">
        <is>
          <t>2007-02-07</t>
        </is>
      </c>
      <c r="W964" t="inlineStr">
        <is>
          <t>1996-08-05</t>
        </is>
      </c>
      <c r="X964" t="inlineStr">
        <is>
          <t>1996-08-05</t>
        </is>
      </c>
      <c r="Y964" t="n">
        <v>243</v>
      </c>
      <c r="Z964" t="n">
        <v>192</v>
      </c>
      <c r="AA964" t="n">
        <v>732</v>
      </c>
      <c r="AB964" t="n">
        <v>5</v>
      </c>
      <c r="AC964" t="n">
        <v>9</v>
      </c>
      <c r="AD964" t="n">
        <v>15</v>
      </c>
      <c r="AE964" t="n">
        <v>37</v>
      </c>
      <c r="AF964" t="n">
        <v>5</v>
      </c>
      <c r="AG964" t="n">
        <v>12</v>
      </c>
      <c r="AH964" t="n">
        <v>2</v>
      </c>
      <c r="AI964" t="n">
        <v>5</v>
      </c>
      <c r="AJ964" t="n">
        <v>6</v>
      </c>
      <c r="AK964" t="n">
        <v>17</v>
      </c>
      <c r="AL964" t="n">
        <v>4</v>
      </c>
      <c r="AM964" t="n">
        <v>8</v>
      </c>
      <c r="AN964" t="n">
        <v>1</v>
      </c>
      <c r="AO964" t="n">
        <v>1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HYPERLINK("https://creighton-primo.hosted.exlibrisgroup.com/primo-explore/search?tab=default_tab&amp;search_scope=EVERYTHING&amp;vid=01CRU&amp;lang=en_US&amp;offset=0&amp;query=any,contains,991004184139702656","Catalog Record")</f>
        <v/>
      </c>
      <c r="AT964">
        <f>HYPERLINK("http://www.worldcat.org/oclc/16770488","WorldCat Record")</f>
        <v/>
      </c>
      <c r="AU964" t="inlineStr">
        <is>
          <t>119929092:eng</t>
        </is>
      </c>
      <c r="AV964" t="inlineStr">
        <is>
          <t>16770488</t>
        </is>
      </c>
      <c r="AW964" t="inlineStr">
        <is>
          <t>991004184139702656</t>
        </is>
      </c>
      <c r="AX964" t="inlineStr">
        <is>
          <t>991004184139702656</t>
        </is>
      </c>
      <c r="AY964" t="inlineStr">
        <is>
          <t>2262546290002656</t>
        </is>
      </c>
      <c r="AZ964" t="inlineStr">
        <is>
          <t>BOOK</t>
        </is>
      </c>
      <c r="BC964" t="inlineStr">
        <is>
          <t>32285002254638</t>
        </is>
      </c>
      <c r="BD964" t="inlineStr">
        <is>
          <t>893612046</t>
        </is>
      </c>
    </row>
    <row r="965">
      <c r="A965" t="inlineStr">
        <is>
          <t>No</t>
        </is>
      </c>
      <c r="B965" t="inlineStr">
        <is>
          <t>BF701 .G624</t>
        </is>
      </c>
      <c r="C965" t="inlineStr">
        <is>
          <t>0                      BF 0701000G  624</t>
        </is>
      </c>
      <c r="D965" t="inlineStr">
        <is>
          <t>The evolutionary foundations of psychology; a unified theory [by] Felix E. Goodson.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Goodson, Felix E., 1922-</t>
        </is>
      </c>
      <c r="L965" t="inlineStr">
        <is>
          <t>New York, Holt, Rinehart and Winston [c1973]</t>
        </is>
      </c>
      <c r="M965" t="inlineStr">
        <is>
          <t>1973</t>
        </is>
      </c>
      <c r="O965" t="inlineStr">
        <is>
          <t>eng</t>
        </is>
      </c>
      <c r="P965" t="inlineStr">
        <is>
          <t>nyu</t>
        </is>
      </c>
      <c r="R965" t="inlineStr">
        <is>
          <t xml:space="preserve">BF </t>
        </is>
      </c>
      <c r="S965" t="n">
        <v>3</v>
      </c>
      <c r="T965" t="n">
        <v>3</v>
      </c>
      <c r="U965" t="inlineStr">
        <is>
          <t>2006-11-09</t>
        </is>
      </c>
      <c r="V965" t="inlineStr">
        <is>
          <t>2006-11-09</t>
        </is>
      </c>
      <c r="W965" t="inlineStr">
        <is>
          <t>1996-08-05</t>
        </is>
      </c>
      <c r="X965" t="inlineStr">
        <is>
          <t>1996-08-05</t>
        </is>
      </c>
      <c r="Y965" t="n">
        <v>277</v>
      </c>
      <c r="Z965" t="n">
        <v>208</v>
      </c>
      <c r="AA965" t="n">
        <v>216</v>
      </c>
      <c r="AB965" t="n">
        <v>4</v>
      </c>
      <c r="AC965" t="n">
        <v>4</v>
      </c>
      <c r="AD965" t="n">
        <v>9</v>
      </c>
      <c r="AE965" t="n">
        <v>9</v>
      </c>
      <c r="AF965" t="n">
        <v>0</v>
      </c>
      <c r="AG965" t="n">
        <v>0</v>
      </c>
      <c r="AH965" t="n">
        <v>3</v>
      </c>
      <c r="AI965" t="n">
        <v>3</v>
      </c>
      <c r="AJ965" t="n">
        <v>4</v>
      </c>
      <c r="AK965" t="n">
        <v>4</v>
      </c>
      <c r="AL965" t="n">
        <v>3</v>
      </c>
      <c r="AM965" t="n">
        <v>3</v>
      </c>
      <c r="AN965" t="n">
        <v>0</v>
      </c>
      <c r="AO965" t="n">
        <v>0</v>
      </c>
      <c r="AP965" t="inlineStr">
        <is>
          <t>No</t>
        </is>
      </c>
      <c r="AQ965" t="inlineStr">
        <is>
          <t>Yes</t>
        </is>
      </c>
      <c r="AR965">
        <f>HYPERLINK("http://catalog.hathitrust.org/Record/000429188","HathiTrust Record")</f>
        <v/>
      </c>
      <c r="AS965">
        <f>HYPERLINK("https://creighton-primo.hosted.exlibrisgroup.com/primo-explore/search?tab=default_tab&amp;search_scope=EVERYTHING&amp;vid=01CRU&amp;lang=en_US&amp;offset=0&amp;query=any,contains,991003351909702656","Catalog Record")</f>
        <v/>
      </c>
      <c r="AT965">
        <f>HYPERLINK("http://www.worldcat.org/oclc/885572","WorldCat Record")</f>
        <v/>
      </c>
      <c r="AU965" t="inlineStr">
        <is>
          <t>1864229:eng</t>
        </is>
      </c>
      <c r="AV965" t="inlineStr">
        <is>
          <t>885572</t>
        </is>
      </c>
      <c r="AW965" t="inlineStr">
        <is>
          <t>991003351909702656</t>
        </is>
      </c>
      <c r="AX965" t="inlineStr">
        <is>
          <t>991003351909702656</t>
        </is>
      </c>
      <c r="AY965" t="inlineStr">
        <is>
          <t>2257300960002656</t>
        </is>
      </c>
      <c r="AZ965" t="inlineStr">
        <is>
          <t>BOOK</t>
        </is>
      </c>
      <c r="BB965" t="inlineStr">
        <is>
          <t>9780030776151</t>
        </is>
      </c>
      <c r="BC965" t="inlineStr">
        <is>
          <t>32285002254661</t>
        </is>
      </c>
      <c r="BD965" t="inlineStr">
        <is>
          <t>893499223</t>
        </is>
      </c>
    </row>
    <row r="966">
      <c r="A966" t="inlineStr">
        <is>
          <t>No</t>
        </is>
      </c>
      <c r="B966" t="inlineStr">
        <is>
          <t>BF701 .M6 1969</t>
        </is>
      </c>
      <c r="C966" t="inlineStr">
        <is>
          <t>0                      BF 0701000M  6           1969</t>
        </is>
      </c>
      <c r="D966" t="inlineStr">
        <is>
          <t>The human zoo.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Morris, Desmond.</t>
        </is>
      </c>
      <c r="L966" t="inlineStr">
        <is>
          <t>New York, McGraw-Hill [1969]</t>
        </is>
      </c>
      <c r="M966" t="inlineStr">
        <is>
          <t>1969</t>
        </is>
      </c>
      <c r="N966" t="inlineStr">
        <is>
          <t>[1st American ed.]</t>
        </is>
      </c>
      <c r="O966" t="inlineStr">
        <is>
          <t>eng</t>
        </is>
      </c>
      <c r="P966" t="inlineStr">
        <is>
          <t>nyu</t>
        </is>
      </c>
      <c r="R966" t="inlineStr">
        <is>
          <t xml:space="preserve">BF </t>
        </is>
      </c>
      <c r="S966" t="n">
        <v>3</v>
      </c>
      <c r="T966" t="n">
        <v>3</v>
      </c>
      <c r="U966" t="inlineStr">
        <is>
          <t>2007-07-23</t>
        </is>
      </c>
      <c r="V966" t="inlineStr">
        <is>
          <t>2007-07-23</t>
        </is>
      </c>
      <c r="W966" t="inlineStr">
        <is>
          <t>1996-08-05</t>
        </is>
      </c>
      <c r="X966" t="inlineStr">
        <is>
          <t>1996-08-05</t>
        </is>
      </c>
      <c r="Y966" t="n">
        <v>1730</v>
      </c>
      <c r="Z966" t="n">
        <v>1649</v>
      </c>
      <c r="AA966" t="n">
        <v>1931</v>
      </c>
      <c r="AB966" t="n">
        <v>10</v>
      </c>
      <c r="AC966" t="n">
        <v>12</v>
      </c>
      <c r="AD966" t="n">
        <v>39</v>
      </c>
      <c r="AE966" t="n">
        <v>45</v>
      </c>
      <c r="AF966" t="n">
        <v>15</v>
      </c>
      <c r="AG966" t="n">
        <v>17</v>
      </c>
      <c r="AH966" t="n">
        <v>5</v>
      </c>
      <c r="AI966" t="n">
        <v>8</v>
      </c>
      <c r="AJ966" t="n">
        <v>20</v>
      </c>
      <c r="AK966" t="n">
        <v>23</v>
      </c>
      <c r="AL966" t="n">
        <v>8</v>
      </c>
      <c r="AM966" t="n">
        <v>8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HYPERLINK("http://catalog.hathitrust.org/Record/000427435","HathiTrust Record")</f>
        <v/>
      </c>
      <c r="AS966">
        <f>HYPERLINK("https://creighton-primo.hosted.exlibrisgroup.com/primo-explore/search?tab=default_tab&amp;search_scope=EVERYTHING&amp;vid=01CRU&amp;lang=en_US&amp;offset=0&amp;query=any,contains,991000086869702656","Catalog Record")</f>
        <v/>
      </c>
      <c r="AT966">
        <f>HYPERLINK("http://www.worldcat.org/oclc/33649","WorldCat Record")</f>
        <v/>
      </c>
      <c r="AU966" t="inlineStr">
        <is>
          <t>1150907983:eng</t>
        </is>
      </c>
      <c r="AV966" t="inlineStr">
        <is>
          <t>33649</t>
        </is>
      </c>
      <c r="AW966" t="inlineStr">
        <is>
          <t>991000086869702656</t>
        </is>
      </c>
      <c r="AX966" t="inlineStr">
        <is>
          <t>991000086869702656</t>
        </is>
      </c>
      <c r="AY966" t="inlineStr">
        <is>
          <t>2261328390002656</t>
        </is>
      </c>
      <c r="AZ966" t="inlineStr">
        <is>
          <t>BOOK</t>
        </is>
      </c>
      <c r="BC966" t="inlineStr">
        <is>
          <t>32285002254737</t>
        </is>
      </c>
      <c r="BD966" t="inlineStr">
        <is>
          <t>893495900</t>
        </is>
      </c>
    </row>
    <row r="967">
      <c r="A967" t="inlineStr">
        <is>
          <t>No</t>
        </is>
      </c>
      <c r="B967" t="inlineStr">
        <is>
          <t>BF701 .N3 1978</t>
        </is>
      </c>
      <c r="C967" t="inlineStr">
        <is>
          <t>0                      BF 0701000N  3           1978</t>
        </is>
      </c>
      <c r="D967" t="inlineStr">
        <is>
          <t>Developmental psychology : a psychobiological approach / John Nash.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Nash, John, 1920-</t>
        </is>
      </c>
      <c r="L967" t="inlineStr">
        <is>
          <t>Englewood Cliffs, N.J. : Prentice-Hall, c1978.</t>
        </is>
      </c>
      <c r="M967" t="inlineStr">
        <is>
          <t>1978</t>
        </is>
      </c>
      <c r="N967" t="inlineStr">
        <is>
          <t>2d ed.</t>
        </is>
      </c>
      <c r="O967" t="inlineStr">
        <is>
          <t>eng</t>
        </is>
      </c>
      <c r="P967" t="inlineStr">
        <is>
          <t>nju</t>
        </is>
      </c>
      <c r="R967" t="inlineStr">
        <is>
          <t xml:space="preserve">BF </t>
        </is>
      </c>
      <c r="S967" t="n">
        <v>2</v>
      </c>
      <c r="T967" t="n">
        <v>2</v>
      </c>
      <c r="U967" t="inlineStr">
        <is>
          <t>2007-03-18</t>
        </is>
      </c>
      <c r="V967" t="inlineStr">
        <is>
          <t>2007-03-18</t>
        </is>
      </c>
      <c r="W967" t="inlineStr">
        <is>
          <t>1992-12-18</t>
        </is>
      </c>
      <c r="X967" t="inlineStr">
        <is>
          <t>1992-12-18</t>
        </is>
      </c>
      <c r="Y967" t="n">
        <v>283</v>
      </c>
      <c r="Z967" t="n">
        <v>184</v>
      </c>
      <c r="AA967" t="n">
        <v>438</v>
      </c>
      <c r="AB967" t="n">
        <v>3</v>
      </c>
      <c r="AC967" t="n">
        <v>5</v>
      </c>
      <c r="AD967" t="n">
        <v>6</v>
      </c>
      <c r="AE967" t="n">
        <v>20</v>
      </c>
      <c r="AF967" t="n">
        <v>1</v>
      </c>
      <c r="AG967" t="n">
        <v>5</v>
      </c>
      <c r="AH967" t="n">
        <v>1</v>
      </c>
      <c r="AI967" t="n">
        <v>5</v>
      </c>
      <c r="AJ967" t="n">
        <v>4</v>
      </c>
      <c r="AK967" t="n">
        <v>10</v>
      </c>
      <c r="AL967" t="n">
        <v>2</v>
      </c>
      <c r="AM967" t="n">
        <v>4</v>
      </c>
      <c r="AN967" t="n">
        <v>0</v>
      </c>
      <c r="AO967" t="n">
        <v>0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HYPERLINK("http://catalog.hathitrust.org/Record/007115029","HathiTrust Record")</f>
        <v/>
      </c>
      <c r="AS967">
        <f>HYPERLINK("https://creighton-primo.hosted.exlibrisgroup.com/primo-explore/search?tab=default_tab&amp;search_scope=EVERYTHING&amp;vid=01CRU&amp;lang=en_US&amp;offset=0&amp;query=any,contains,991004477169702656","Catalog Record")</f>
        <v/>
      </c>
      <c r="AT967">
        <f>HYPERLINK("http://www.worldcat.org/oclc/3609734","WorldCat Record")</f>
        <v/>
      </c>
      <c r="AU967" t="inlineStr">
        <is>
          <t>1089550139:eng</t>
        </is>
      </c>
      <c r="AV967" t="inlineStr">
        <is>
          <t>3609734</t>
        </is>
      </c>
      <c r="AW967" t="inlineStr">
        <is>
          <t>991004477169702656</t>
        </is>
      </c>
      <c r="AX967" t="inlineStr">
        <is>
          <t>991004477169702656</t>
        </is>
      </c>
      <c r="AY967" t="inlineStr">
        <is>
          <t>2271824110002656</t>
        </is>
      </c>
      <c r="AZ967" t="inlineStr">
        <is>
          <t>BOOK</t>
        </is>
      </c>
      <c r="BB967" t="inlineStr">
        <is>
          <t>9780132082723</t>
        </is>
      </c>
      <c r="BC967" t="inlineStr">
        <is>
          <t>32285001444495</t>
        </is>
      </c>
      <c r="BD967" t="inlineStr">
        <is>
          <t>893229407</t>
        </is>
      </c>
    </row>
    <row r="968">
      <c r="A968" t="inlineStr">
        <is>
          <t>No</t>
        </is>
      </c>
      <c r="B968" t="inlineStr">
        <is>
          <t>BF701 .P5</t>
        </is>
      </c>
      <c r="C968" t="inlineStr">
        <is>
          <t>0                      BF 0701000P  5</t>
        </is>
      </c>
      <c r="D968" t="inlineStr">
        <is>
          <t>Psychology of human development / in collaboration with Eugene J. Albrecht.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Pikunas, Justin.</t>
        </is>
      </c>
      <c r="L968" t="inlineStr">
        <is>
          <t>New York : McGraw-Hill, 1961.</t>
        </is>
      </c>
      <c r="M968" t="inlineStr">
        <is>
          <t>1961</t>
        </is>
      </c>
      <c r="O968" t="inlineStr">
        <is>
          <t>eng</t>
        </is>
      </c>
      <c r="P968" t="inlineStr">
        <is>
          <t>nyu</t>
        </is>
      </c>
      <c r="R968" t="inlineStr">
        <is>
          <t xml:space="preserve">BF </t>
        </is>
      </c>
      <c r="S968" t="n">
        <v>1</v>
      </c>
      <c r="T968" t="n">
        <v>1</v>
      </c>
      <c r="U968" t="inlineStr">
        <is>
          <t>2000-10-11</t>
        </is>
      </c>
      <c r="V968" t="inlineStr">
        <is>
          <t>2000-10-11</t>
        </is>
      </c>
      <c r="W968" t="inlineStr">
        <is>
          <t>1991-12-23</t>
        </is>
      </c>
      <c r="X968" t="inlineStr">
        <is>
          <t>1991-12-23</t>
        </is>
      </c>
      <c r="Y968" t="n">
        <v>297</v>
      </c>
      <c r="Z968" t="n">
        <v>242</v>
      </c>
      <c r="AA968" t="n">
        <v>299</v>
      </c>
      <c r="AB968" t="n">
        <v>3</v>
      </c>
      <c r="AC968" t="n">
        <v>3</v>
      </c>
      <c r="AD968" t="n">
        <v>12</v>
      </c>
      <c r="AE968" t="n">
        <v>13</v>
      </c>
      <c r="AF968" t="n">
        <v>3</v>
      </c>
      <c r="AG968" t="n">
        <v>3</v>
      </c>
      <c r="AH968" t="n">
        <v>3</v>
      </c>
      <c r="AI968" t="n">
        <v>4</v>
      </c>
      <c r="AJ968" t="n">
        <v>9</v>
      </c>
      <c r="AK968" t="n">
        <v>10</v>
      </c>
      <c r="AL968" t="n">
        <v>1</v>
      </c>
      <c r="AM968" t="n">
        <v>1</v>
      </c>
      <c r="AN968" t="n">
        <v>0</v>
      </c>
      <c r="AO968" t="n">
        <v>0</v>
      </c>
      <c r="AP968" t="inlineStr">
        <is>
          <t>Yes</t>
        </is>
      </c>
      <c r="AQ968" t="inlineStr">
        <is>
          <t>No</t>
        </is>
      </c>
      <c r="AR968">
        <f>HYPERLINK("http://catalog.hathitrust.org/Record/000427720","HathiTrust Record")</f>
        <v/>
      </c>
      <c r="AS968">
        <f>HYPERLINK("https://creighton-primo.hosted.exlibrisgroup.com/primo-explore/search?tab=default_tab&amp;search_scope=EVERYTHING&amp;vid=01CRU&amp;lang=en_US&amp;offset=0&amp;query=any,contains,991004207739702656","Catalog Record")</f>
        <v/>
      </c>
      <c r="AT968">
        <f>HYPERLINK("http://www.worldcat.org/oclc/2672249","WorldCat Record")</f>
        <v/>
      </c>
      <c r="AU968" t="inlineStr">
        <is>
          <t>5749610:eng</t>
        </is>
      </c>
      <c r="AV968" t="inlineStr">
        <is>
          <t>2672249</t>
        </is>
      </c>
      <c r="AW968" t="inlineStr">
        <is>
          <t>991004207739702656</t>
        </is>
      </c>
      <c r="AX968" t="inlineStr">
        <is>
          <t>991004207739702656</t>
        </is>
      </c>
      <c r="AY968" t="inlineStr">
        <is>
          <t>2260718120002656</t>
        </is>
      </c>
      <c r="AZ968" t="inlineStr">
        <is>
          <t>BOOK</t>
        </is>
      </c>
      <c r="BC968" t="inlineStr">
        <is>
          <t>32285000879386</t>
        </is>
      </c>
      <c r="BD968" t="inlineStr">
        <is>
          <t>893781969</t>
        </is>
      </c>
    </row>
    <row r="969">
      <c r="A969" t="inlineStr">
        <is>
          <t>No</t>
        </is>
      </c>
      <c r="B969" t="inlineStr">
        <is>
          <t>BF711 .R53 1987</t>
        </is>
      </c>
      <c r="C969" t="inlineStr">
        <is>
          <t>0                      BF 0711000R  53          1987</t>
        </is>
      </c>
      <c r="D969" t="inlineStr">
        <is>
          <t>Darwin and the emergence of evolutionary theories of mind and behavior / Robert J. Richards.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Richards, Robert J. (Robert John), 1942-</t>
        </is>
      </c>
      <c r="L969" t="inlineStr">
        <is>
          <t>Chicago : University of Chicago Press, 1987.</t>
        </is>
      </c>
      <c r="M969" t="inlineStr">
        <is>
          <t>1987</t>
        </is>
      </c>
      <c r="O969" t="inlineStr">
        <is>
          <t>eng</t>
        </is>
      </c>
      <c r="P969" t="inlineStr">
        <is>
          <t>ilu</t>
        </is>
      </c>
      <c r="Q969" t="inlineStr">
        <is>
          <t>Science and its conceptual foundations</t>
        </is>
      </c>
      <c r="R969" t="inlineStr">
        <is>
          <t xml:space="preserve">BF </t>
        </is>
      </c>
      <c r="S969" t="n">
        <v>7</v>
      </c>
      <c r="T969" t="n">
        <v>7</v>
      </c>
      <c r="U969" t="inlineStr">
        <is>
          <t>2010-03-22</t>
        </is>
      </c>
      <c r="V969" t="inlineStr">
        <is>
          <t>2010-03-22</t>
        </is>
      </c>
      <c r="W969" t="inlineStr">
        <is>
          <t>1994-03-15</t>
        </is>
      </c>
      <c r="X969" t="inlineStr">
        <is>
          <t>1994-03-15</t>
        </is>
      </c>
      <c r="Y969" t="n">
        <v>957</v>
      </c>
      <c r="Z969" t="n">
        <v>770</v>
      </c>
      <c r="AA969" t="n">
        <v>839</v>
      </c>
      <c r="AB969" t="n">
        <v>8</v>
      </c>
      <c r="AC969" t="n">
        <v>8</v>
      </c>
      <c r="AD969" t="n">
        <v>37</v>
      </c>
      <c r="AE969" t="n">
        <v>40</v>
      </c>
      <c r="AF969" t="n">
        <v>15</v>
      </c>
      <c r="AG969" t="n">
        <v>16</v>
      </c>
      <c r="AH969" t="n">
        <v>5</v>
      </c>
      <c r="AI969" t="n">
        <v>7</v>
      </c>
      <c r="AJ969" t="n">
        <v>18</v>
      </c>
      <c r="AK969" t="n">
        <v>19</v>
      </c>
      <c r="AL969" t="n">
        <v>7</v>
      </c>
      <c r="AM969" t="n">
        <v>7</v>
      </c>
      <c r="AN969" t="n">
        <v>0</v>
      </c>
      <c r="AO969" t="n">
        <v>0</v>
      </c>
      <c r="AP969" t="inlineStr">
        <is>
          <t>No</t>
        </is>
      </c>
      <c r="AQ969" t="inlineStr">
        <is>
          <t>No</t>
        </is>
      </c>
      <c r="AS969">
        <f>HYPERLINK("https://creighton-primo.hosted.exlibrisgroup.com/primo-explore/search?tab=default_tab&amp;search_scope=EVERYTHING&amp;vid=01CRU&amp;lang=en_US&amp;offset=0&amp;query=any,contains,991001051859702656","Catalog Record")</f>
        <v/>
      </c>
      <c r="AT969">
        <f>HYPERLINK("http://www.worldcat.org/oclc/15656443","WorldCat Record")</f>
        <v/>
      </c>
      <c r="AU969" t="inlineStr">
        <is>
          <t>9902456:eng</t>
        </is>
      </c>
      <c r="AV969" t="inlineStr">
        <is>
          <t>15656443</t>
        </is>
      </c>
      <c r="AW969" t="inlineStr">
        <is>
          <t>991001051859702656</t>
        </is>
      </c>
      <c r="AX969" t="inlineStr">
        <is>
          <t>991001051859702656</t>
        </is>
      </c>
      <c r="AY969" t="inlineStr">
        <is>
          <t>2268070870002656</t>
        </is>
      </c>
      <c r="AZ969" t="inlineStr">
        <is>
          <t>BOOK</t>
        </is>
      </c>
      <c r="BB969" t="inlineStr">
        <is>
          <t>9780226711997</t>
        </is>
      </c>
      <c r="BC969" t="inlineStr">
        <is>
          <t>32285001602639</t>
        </is>
      </c>
      <c r="BD969" t="inlineStr">
        <is>
          <t>893522246</t>
        </is>
      </c>
    </row>
    <row r="970">
      <c r="A970" t="inlineStr">
        <is>
          <t>No</t>
        </is>
      </c>
      <c r="B970" t="inlineStr">
        <is>
          <t>BF713 .H87 1980</t>
        </is>
      </c>
      <c r="C970" t="inlineStr">
        <is>
          <t>0                      BF 0713000H  87          1980</t>
        </is>
      </c>
      <c r="D970" t="inlineStr">
        <is>
          <t>Developmental psychology : a life-span approach / Elizabeth B. Hurlock.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Hurlock, Elizabeth B. (Elizabeth Bergner), 1898-1988.</t>
        </is>
      </c>
      <c r="L970" t="inlineStr">
        <is>
          <t>New York : McGraw-Hill, c1980.</t>
        </is>
      </c>
      <c r="M970" t="inlineStr">
        <is>
          <t>1980</t>
        </is>
      </c>
      <c r="N970" t="inlineStr">
        <is>
          <t>5th ed.</t>
        </is>
      </c>
      <c r="O970" t="inlineStr">
        <is>
          <t>eng</t>
        </is>
      </c>
      <c r="P970" t="inlineStr">
        <is>
          <t>nyu</t>
        </is>
      </c>
      <c r="R970" t="inlineStr">
        <is>
          <t xml:space="preserve">BF </t>
        </is>
      </c>
      <c r="S970" t="n">
        <v>4</v>
      </c>
      <c r="T970" t="n">
        <v>4</v>
      </c>
      <c r="U970" t="inlineStr">
        <is>
          <t>2005-10-26</t>
        </is>
      </c>
      <c r="V970" t="inlineStr">
        <is>
          <t>2005-10-26</t>
        </is>
      </c>
      <c r="W970" t="inlineStr">
        <is>
          <t>1993-04-06</t>
        </is>
      </c>
      <c r="X970" t="inlineStr">
        <is>
          <t>1993-04-06</t>
        </is>
      </c>
      <c r="Y970" t="n">
        <v>322</v>
      </c>
      <c r="Z970" t="n">
        <v>218</v>
      </c>
      <c r="AA970" t="n">
        <v>805</v>
      </c>
      <c r="AB970" t="n">
        <v>2</v>
      </c>
      <c r="AC970" t="n">
        <v>6</v>
      </c>
      <c r="AD970" t="n">
        <v>5</v>
      </c>
      <c r="AE970" t="n">
        <v>32</v>
      </c>
      <c r="AF970" t="n">
        <v>1</v>
      </c>
      <c r="AG970" t="n">
        <v>10</v>
      </c>
      <c r="AH970" t="n">
        <v>1</v>
      </c>
      <c r="AI970" t="n">
        <v>9</v>
      </c>
      <c r="AJ970" t="n">
        <v>3</v>
      </c>
      <c r="AK970" t="n">
        <v>18</v>
      </c>
      <c r="AL970" t="n">
        <v>1</v>
      </c>
      <c r="AM970" t="n">
        <v>4</v>
      </c>
      <c r="AN970" t="n">
        <v>0</v>
      </c>
      <c r="AO970" t="n">
        <v>0</v>
      </c>
      <c r="AP970" t="inlineStr">
        <is>
          <t>No</t>
        </is>
      </c>
      <c r="AQ970" t="inlineStr">
        <is>
          <t>No</t>
        </is>
      </c>
      <c r="AS970">
        <f>HYPERLINK("https://creighton-primo.hosted.exlibrisgroup.com/primo-explore/search?tab=default_tab&amp;search_scope=EVERYTHING&amp;vid=01CRU&amp;lang=en_US&amp;offset=0&amp;query=any,contains,991004808259702656","Catalog Record")</f>
        <v/>
      </c>
      <c r="AT970">
        <f>HYPERLINK("http://www.worldcat.org/oclc/5264323","WorldCat Record")</f>
        <v/>
      </c>
      <c r="AU970" t="inlineStr">
        <is>
          <t>2908594076:eng</t>
        </is>
      </c>
      <c r="AV970" t="inlineStr">
        <is>
          <t>5264323</t>
        </is>
      </c>
      <c r="AW970" t="inlineStr">
        <is>
          <t>991004808259702656</t>
        </is>
      </c>
      <c r="AX970" t="inlineStr">
        <is>
          <t>991004808259702656</t>
        </is>
      </c>
      <c r="AY970" t="inlineStr">
        <is>
          <t>2258709390002656</t>
        </is>
      </c>
      <c r="AZ970" t="inlineStr">
        <is>
          <t>BOOK</t>
        </is>
      </c>
      <c r="BB970" t="inlineStr">
        <is>
          <t>9780070314504</t>
        </is>
      </c>
      <c r="BC970" t="inlineStr">
        <is>
          <t>32285001602878</t>
        </is>
      </c>
      <c r="BD970" t="inlineStr">
        <is>
          <t>893424213</t>
        </is>
      </c>
    </row>
    <row r="971">
      <c r="A971" t="inlineStr">
        <is>
          <t>No</t>
        </is>
      </c>
      <c r="B971" t="inlineStr">
        <is>
          <t>BF713 .K386</t>
        </is>
      </c>
      <c r="C971" t="inlineStr">
        <is>
          <t>0                      BF 0713000K  386</t>
        </is>
      </c>
      <c r="D971" t="inlineStr">
        <is>
          <t>Humans developing : a lifespan perspective / Robert Kastenbaum.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K971" t="inlineStr">
        <is>
          <t>Kastenbaum, Robert.</t>
        </is>
      </c>
      <c r="L971" t="inlineStr">
        <is>
          <t>Boston : Allyn and Bacon, c1979.</t>
        </is>
      </c>
      <c r="M971" t="inlineStr">
        <is>
          <t>1979</t>
        </is>
      </c>
      <c r="O971" t="inlineStr">
        <is>
          <t>eng</t>
        </is>
      </c>
      <c r="P971" t="inlineStr">
        <is>
          <t>mau</t>
        </is>
      </c>
      <c r="R971" t="inlineStr">
        <is>
          <t xml:space="preserve">BF </t>
        </is>
      </c>
      <c r="S971" t="n">
        <v>8</v>
      </c>
      <c r="T971" t="n">
        <v>8</v>
      </c>
      <c r="U971" t="inlineStr">
        <is>
          <t>2002-07-17</t>
        </is>
      </c>
      <c r="V971" t="inlineStr">
        <is>
          <t>2002-07-17</t>
        </is>
      </c>
      <c r="W971" t="inlineStr">
        <is>
          <t>1992-12-18</t>
        </is>
      </c>
      <c r="X971" t="inlineStr">
        <is>
          <t>1992-12-18</t>
        </is>
      </c>
      <c r="Y971" t="n">
        <v>326</v>
      </c>
      <c r="Z971" t="n">
        <v>233</v>
      </c>
      <c r="AA971" t="n">
        <v>236</v>
      </c>
      <c r="AB971" t="n">
        <v>2</v>
      </c>
      <c r="AC971" t="n">
        <v>2</v>
      </c>
      <c r="AD971" t="n">
        <v>9</v>
      </c>
      <c r="AE971" t="n">
        <v>9</v>
      </c>
      <c r="AF971" t="n">
        <v>2</v>
      </c>
      <c r="AG971" t="n">
        <v>2</v>
      </c>
      <c r="AH971" t="n">
        <v>2</v>
      </c>
      <c r="AI971" t="n">
        <v>2</v>
      </c>
      <c r="AJ971" t="n">
        <v>5</v>
      </c>
      <c r="AK971" t="n">
        <v>5</v>
      </c>
      <c r="AL971" t="n">
        <v>1</v>
      </c>
      <c r="AM971" t="n">
        <v>1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HYPERLINK("http://catalog.hathitrust.org/Record/000721312","HathiTrust Record")</f>
        <v/>
      </c>
      <c r="AS971">
        <f>HYPERLINK("https://creighton-primo.hosted.exlibrisgroup.com/primo-explore/search?tab=default_tab&amp;search_scope=EVERYTHING&amp;vid=01CRU&amp;lang=en_US&amp;offset=0&amp;query=any,contains,991004655179702656","Catalog Record")</f>
        <v/>
      </c>
      <c r="AT971">
        <f>HYPERLINK("http://www.worldcat.org/oclc/4495073","WorldCat Record")</f>
        <v/>
      </c>
      <c r="AU971" t="inlineStr">
        <is>
          <t>257474376:eng</t>
        </is>
      </c>
      <c r="AV971" t="inlineStr">
        <is>
          <t>4495073</t>
        </is>
      </c>
      <c r="AW971" t="inlineStr">
        <is>
          <t>991004655179702656</t>
        </is>
      </c>
      <c r="AX971" t="inlineStr">
        <is>
          <t>991004655179702656</t>
        </is>
      </c>
      <c r="AY971" t="inlineStr">
        <is>
          <t>2268049080002656</t>
        </is>
      </c>
      <c r="AZ971" t="inlineStr">
        <is>
          <t>BOOK</t>
        </is>
      </c>
      <c r="BB971" t="inlineStr">
        <is>
          <t>9780205065134</t>
        </is>
      </c>
      <c r="BC971" t="inlineStr">
        <is>
          <t>32285001444487</t>
        </is>
      </c>
      <c r="BD971" t="inlineStr">
        <is>
          <t>893706673</t>
        </is>
      </c>
    </row>
    <row r="972">
      <c r="A972" t="inlineStr">
        <is>
          <t>No</t>
        </is>
      </c>
      <c r="B972" t="inlineStr">
        <is>
          <t>BF713 .K58 1986</t>
        </is>
      </c>
      <c r="C972" t="inlineStr">
        <is>
          <t>0                      BF 0713000K  58          1986</t>
        </is>
      </c>
      <c r="D972" t="inlineStr">
        <is>
          <t>Human development and human possibility : Erikson in the light of Heidegger / Richard T. Knowles.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K972" t="inlineStr">
        <is>
          <t>Knowles, Richard T., 1934-</t>
        </is>
      </c>
      <c r="L972" t="inlineStr">
        <is>
          <t>Lanham, MD : University Press of America, c1986.</t>
        </is>
      </c>
      <c r="M972" t="inlineStr">
        <is>
          <t>1986</t>
        </is>
      </c>
      <c r="O972" t="inlineStr">
        <is>
          <t>eng</t>
        </is>
      </c>
      <c r="P972" t="inlineStr">
        <is>
          <t>mdu</t>
        </is>
      </c>
      <c r="R972" t="inlineStr">
        <is>
          <t xml:space="preserve">BF </t>
        </is>
      </c>
      <c r="S972" t="n">
        <v>15</v>
      </c>
      <c r="T972" t="n">
        <v>15</v>
      </c>
      <c r="U972" t="inlineStr">
        <is>
          <t>2005-04-02</t>
        </is>
      </c>
      <c r="V972" t="inlineStr">
        <is>
          <t>2005-04-02</t>
        </is>
      </c>
      <c r="W972" t="inlineStr">
        <is>
          <t>1990-04-04</t>
        </is>
      </c>
      <c r="X972" t="inlineStr">
        <is>
          <t>1990-04-04</t>
        </is>
      </c>
      <c r="Y972" t="n">
        <v>355</v>
      </c>
      <c r="Z972" t="n">
        <v>303</v>
      </c>
      <c r="AA972" t="n">
        <v>303</v>
      </c>
      <c r="AB972" t="n">
        <v>4</v>
      </c>
      <c r="AC972" t="n">
        <v>4</v>
      </c>
      <c r="AD972" t="n">
        <v>15</v>
      </c>
      <c r="AE972" t="n">
        <v>15</v>
      </c>
      <c r="AF972" t="n">
        <v>5</v>
      </c>
      <c r="AG972" t="n">
        <v>5</v>
      </c>
      <c r="AH972" t="n">
        <v>3</v>
      </c>
      <c r="AI972" t="n">
        <v>3</v>
      </c>
      <c r="AJ972" t="n">
        <v>7</v>
      </c>
      <c r="AK972" t="n">
        <v>7</v>
      </c>
      <c r="AL972" t="n">
        <v>3</v>
      </c>
      <c r="AM972" t="n">
        <v>3</v>
      </c>
      <c r="AN972" t="n">
        <v>0</v>
      </c>
      <c r="AO972" t="n">
        <v>0</v>
      </c>
      <c r="AP972" t="inlineStr">
        <is>
          <t>No</t>
        </is>
      </c>
      <c r="AQ972" t="inlineStr">
        <is>
          <t>No</t>
        </is>
      </c>
      <c r="AS972">
        <f>HYPERLINK("https://creighton-primo.hosted.exlibrisgroup.com/primo-explore/search?tab=default_tab&amp;search_scope=EVERYTHING&amp;vid=01CRU&amp;lang=en_US&amp;offset=0&amp;query=any,contains,991000704649702656","Catalog Record")</f>
        <v/>
      </c>
      <c r="AT972">
        <f>HYPERLINK("http://www.worldcat.org/oclc/12556220","WorldCat Record")</f>
        <v/>
      </c>
      <c r="AU972" t="inlineStr">
        <is>
          <t>836679966:eng</t>
        </is>
      </c>
      <c r="AV972" t="inlineStr">
        <is>
          <t>12556220</t>
        </is>
      </c>
      <c r="AW972" t="inlineStr">
        <is>
          <t>991000704649702656</t>
        </is>
      </c>
      <c r="AX972" t="inlineStr">
        <is>
          <t>991000704649702656</t>
        </is>
      </c>
      <c r="AY972" t="inlineStr">
        <is>
          <t>2254907220002656</t>
        </is>
      </c>
      <c r="AZ972" t="inlineStr">
        <is>
          <t>BOOK</t>
        </is>
      </c>
      <c r="BB972" t="inlineStr">
        <is>
          <t>9780819149930</t>
        </is>
      </c>
      <c r="BC972" t="inlineStr">
        <is>
          <t>32285000110295</t>
        </is>
      </c>
      <c r="BD972" t="inlineStr">
        <is>
          <t>893502740</t>
        </is>
      </c>
    </row>
    <row r="973">
      <c r="A973" t="inlineStr">
        <is>
          <t>No</t>
        </is>
      </c>
      <c r="B973" t="inlineStr">
        <is>
          <t>BF713 .L554 1987</t>
        </is>
      </c>
      <c r="C973" t="inlineStr">
        <is>
          <t>0                      BF 0713000L  554         1987</t>
        </is>
      </c>
      <c r="D973" t="inlineStr">
        <is>
          <t>Life-span perspectives and social psychology / edited by Ronald P. Abeles.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L973" t="inlineStr">
        <is>
          <t>Hillsdale, N.J. : L. Erlbaum Associates, 1987.</t>
        </is>
      </c>
      <c r="M973" t="inlineStr">
        <is>
          <t>1987</t>
        </is>
      </c>
      <c r="O973" t="inlineStr">
        <is>
          <t>eng</t>
        </is>
      </c>
      <c r="P973" t="inlineStr">
        <is>
          <t>nju</t>
        </is>
      </c>
      <c r="R973" t="inlineStr">
        <is>
          <t xml:space="preserve">BF </t>
        </is>
      </c>
      <c r="S973" t="n">
        <v>2</v>
      </c>
      <c r="T973" t="n">
        <v>2</v>
      </c>
      <c r="U973" t="inlineStr">
        <is>
          <t>2009-03-24</t>
        </is>
      </c>
      <c r="V973" t="inlineStr">
        <is>
          <t>2009-03-24</t>
        </is>
      </c>
      <c r="W973" t="inlineStr">
        <is>
          <t>1993-04-06</t>
        </is>
      </c>
      <c r="X973" t="inlineStr">
        <is>
          <t>1993-04-06</t>
        </is>
      </c>
      <c r="Y973" t="n">
        <v>309</v>
      </c>
      <c r="Z973" t="n">
        <v>237</v>
      </c>
      <c r="AA973" t="n">
        <v>265</v>
      </c>
      <c r="AB973" t="n">
        <v>3</v>
      </c>
      <c r="AC973" t="n">
        <v>3</v>
      </c>
      <c r="AD973" t="n">
        <v>9</v>
      </c>
      <c r="AE973" t="n">
        <v>9</v>
      </c>
      <c r="AF973" t="n">
        <v>1</v>
      </c>
      <c r="AG973" t="n">
        <v>1</v>
      </c>
      <c r="AH973" t="n">
        <v>3</v>
      </c>
      <c r="AI973" t="n">
        <v>3</v>
      </c>
      <c r="AJ973" t="n">
        <v>6</v>
      </c>
      <c r="AK973" t="n">
        <v>6</v>
      </c>
      <c r="AL973" t="n">
        <v>2</v>
      </c>
      <c r="AM973" t="n">
        <v>2</v>
      </c>
      <c r="AN973" t="n">
        <v>0</v>
      </c>
      <c r="AO973" t="n">
        <v>0</v>
      </c>
      <c r="AP973" t="inlineStr">
        <is>
          <t>No</t>
        </is>
      </c>
      <c r="AQ973" t="inlineStr">
        <is>
          <t>No</t>
        </is>
      </c>
      <c r="AS973">
        <f>HYPERLINK("https://creighton-primo.hosted.exlibrisgroup.com/primo-explore/search?tab=default_tab&amp;search_scope=EVERYTHING&amp;vid=01CRU&amp;lang=en_US&amp;offset=0&amp;query=any,contains,991000942229702656","Catalog Record")</f>
        <v/>
      </c>
      <c r="AT973">
        <f>HYPERLINK("http://www.worldcat.org/oclc/14413555","WorldCat Record")</f>
        <v/>
      </c>
      <c r="AU973" t="inlineStr">
        <is>
          <t>351548441:eng</t>
        </is>
      </c>
      <c r="AV973" t="inlineStr">
        <is>
          <t>14413555</t>
        </is>
      </c>
      <c r="AW973" t="inlineStr">
        <is>
          <t>991000942229702656</t>
        </is>
      </c>
      <c r="AX973" t="inlineStr">
        <is>
          <t>991000942229702656</t>
        </is>
      </c>
      <c r="AY973" t="inlineStr">
        <is>
          <t>2266425170002656</t>
        </is>
      </c>
      <c r="AZ973" t="inlineStr">
        <is>
          <t>BOOK</t>
        </is>
      </c>
      <c r="BB973" t="inlineStr">
        <is>
          <t>9780898599534</t>
        </is>
      </c>
      <c r="BC973" t="inlineStr">
        <is>
          <t>32285001602902</t>
        </is>
      </c>
      <c r="BD973" t="inlineStr">
        <is>
          <t>893351718</t>
        </is>
      </c>
    </row>
    <row r="974">
      <c r="A974" t="inlineStr">
        <is>
          <t>No</t>
        </is>
      </c>
      <c r="B974" t="inlineStr">
        <is>
          <t>BF713 .L83</t>
        </is>
      </c>
      <c r="C974" t="inlineStr">
        <is>
          <t>0                      BF 0713000L  83</t>
        </is>
      </c>
      <c r="D974" t="inlineStr">
        <is>
          <t>Human development: a multidisciplinary approach to the psychology of individual growth [by] James O. Lugo &amp; Gerald L. Hershey. Photographic design by Gerry Owen.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K974" t="inlineStr">
        <is>
          <t>Lugo, James O.</t>
        </is>
      </c>
      <c r="L974" t="inlineStr">
        <is>
          <t>New York, Macmillan [1974]</t>
        </is>
      </c>
      <c r="M974" t="inlineStr">
        <is>
          <t>1974</t>
        </is>
      </c>
      <c r="O974" t="inlineStr">
        <is>
          <t>eng</t>
        </is>
      </c>
      <c r="P974" t="inlineStr">
        <is>
          <t>nyu</t>
        </is>
      </c>
      <c r="R974" t="inlineStr">
        <is>
          <t xml:space="preserve">BF </t>
        </is>
      </c>
      <c r="S974" t="n">
        <v>4</v>
      </c>
      <c r="T974" t="n">
        <v>4</v>
      </c>
      <c r="U974" t="inlineStr">
        <is>
          <t>2008-11-17</t>
        </is>
      </c>
      <c r="V974" t="inlineStr">
        <is>
          <t>2008-11-17</t>
        </is>
      </c>
      <c r="W974" t="inlineStr">
        <is>
          <t>1990-07-31</t>
        </is>
      </c>
      <c r="X974" t="inlineStr">
        <is>
          <t>1990-07-31</t>
        </is>
      </c>
      <c r="Y974" t="n">
        <v>436</v>
      </c>
      <c r="Z974" t="n">
        <v>316</v>
      </c>
      <c r="AA974" t="n">
        <v>319</v>
      </c>
      <c r="AB974" t="n">
        <v>4</v>
      </c>
      <c r="AC974" t="n">
        <v>4</v>
      </c>
      <c r="AD974" t="n">
        <v>9</v>
      </c>
      <c r="AE974" t="n">
        <v>9</v>
      </c>
      <c r="AF974" t="n">
        <v>1</v>
      </c>
      <c r="AG974" t="n">
        <v>1</v>
      </c>
      <c r="AH974" t="n">
        <v>2</v>
      </c>
      <c r="AI974" t="n">
        <v>2</v>
      </c>
      <c r="AJ974" t="n">
        <v>5</v>
      </c>
      <c r="AK974" t="n">
        <v>5</v>
      </c>
      <c r="AL974" t="n">
        <v>2</v>
      </c>
      <c r="AM974" t="n">
        <v>2</v>
      </c>
      <c r="AN974" t="n">
        <v>0</v>
      </c>
      <c r="AO974" t="n">
        <v>0</v>
      </c>
      <c r="AP974" t="inlineStr">
        <is>
          <t>No</t>
        </is>
      </c>
      <c r="AQ974" t="inlineStr">
        <is>
          <t>Yes</t>
        </is>
      </c>
      <c r="AR974">
        <f>HYPERLINK("http://catalog.hathitrust.org/Record/000428379","HathiTrust Record")</f>
        <v/>
      </c>
      <c r="AS974">
        <f>HYPERLINK("https://creighton-primo.hosted.exlibrisgroup.com/primo-explore/search?tab=default_tab&amp;search_scope=EVERYTHING&amp;vid=01CRU&amp;lang=en_US&amp;offset=0&amp;query=any,contains,991005253789702656","Catalog Record")</f>
        <v/>
      </c>
      <c r="AT974">
        <f>HYPERLINK("http://www.worldcat.org/oclc/714161","WorldCat Record")</f>
        <v/>
      </c>
      <c r="AU974" t="inlineStr">
        <is>
          <t>867304328:eng</t>
        </is>
      </c>
      <c r="AV974" t="inlineStr">
        <is>
          <t>714161</t>
        </is>
      </c>
      <c r="AW974" t="inlineStr">
        <is>
          <t>991005253789702656</t>
        </is>
      </c>
      <c r="AX974" t="inlineStr">
        <is>
          <t>991005253789702656</t>
        </is>
      </c>
      <c r="AY974" t="inlineStr">
        <is>
          <t>2255996170002656</t>
        </is>
      </c>
      <c r="AZ974" t="inlineStr">
        <is>
          <t>BOOK</t>
        </is>
      </c>
      <c r="BB974" t="inlineStr">
        <is>
          <t>9780023723001</t>
        </is>
      </c>
      <c r="BC974" t="inlineStr">
        <is>
          <t>32285000260025</t>
        </is>
      </c>
      <c r="BD974" t="inlineStr">
        <is>
          <t>893720074</t>
        </is>
      </c>
    </row>
    <row r="975">
      <c r="A975" t="inlineStr">
        <is>
          <t>No</t>
        </is>
      </c>
      <c r="B975" t="inlineStr">
        <is>
          <t>BF713 .M53</t>
        </is>
      </c>
      <c r="C975" t="inlineStr">
        <is>
          <t>0                      BF 0713000M  53</t>
        </is>
      </c>
      <c r="D975" t="inlineStr">
        <is>
          <t>Biological perspectives in developmental psychology / George F. Michel, Celia L. Moore. --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Michel, George F., 1944-</t>
        </is>
      </c>
      <c r="L975" t="inlineStr">
        <is>
          <t>Monterey, Calif. : Brooks/Cole Pub. Co., c1978.</t>
        </is>
      </c>
      <c r="M975" t="inlineStr">
        <is>
          <t>1978</t>
        </is>
      </c>
      <c r="O975" t="inlineStr">
        <is>
          <t>eng</t>
        </is>
      </c>
      <c r="P975" t="inlineStr">
        <is>
          <t>cau</t>
        </is>
      </c>
      <c r="Q975" t="inlineStr">
        <is>
          <t>Life-span human development series</t>
        </is>
      </c>
      <c r="R975" t="inlineStr">
        <is>
          <t xml:space="preserve">BF </t>
        </is>
      </c>
      <c r="S975" t="n">
        <v>5</v>
      </c>
      <c r="T975" t="n">
        <v>5</v>
      </c>
      <c r="U975" t="inlineStr">
        <is>
          <t>2008-11-17</t>
        </is>
      </c>
      <c r="V975" t="inlineStr">
        <is>
          <t>2008-11-17</t>
        </is>
      </c>
      <c r="W975" t="inlineStr">
        <is>
          <t>1993-04-06</t>
        </is>
      </c>
      <c r="X975" t="inlineStr">
        <is>
          <t>1993-04-06</t>
        </is>
      </c>
      <c r="Y975" t="n">
        <v>189</v>
      </c>
      <c r="Z975" t="n">
        <v>151</v>
      </c>
      <c r="AA975" t="n">
        <v>151</v>
      </c>
      <c r="AB975" t="n">
        <v>2</v>
      </c>
      <c r="AC975" t="n">
        <v>2</v>
      </c>
      <c r="AD975" t="n">
        <v>5</v>
      </c>
      <c r="AE975" t="n">
        <v>5</v>
      </c>
      <c r="AF975" t="n">
        <v>2</v>
      </c>
      <c r="AG975" t="n">
        <v>2</v>
      </c>
      <c r="AH975" t="n">
        <v>1</v>
      </c>
      <c r="AI975" t="n">
        <v>1</v>
      </c>
      <c r="AJ975" t="n">
        <v>3</v>
      </c>
      <c r="AK975" t="n">
        <v>3</v>
      </c>
      <c r="AL975" t="n">
        <v>1</v>
      </c>
      <c r="AM975" t="n">
        <v>1</v>
      </c>
      <c r="AN975" t="n">
        <v>0</v>
      </c>
      <c r="AO975" t="n">
        <v>0</v>
      </c>
      <c r="AP975" t="inlineStr">
        <is>
          <t>No</t>
        </is>
      </c>
      <c r="AQ975" t="inlineStr">
        <is>
          <t>No</t>
        </is>
      </c>
      <c r="AS975">
        <f>HYPERLINK("https://creighton-primo.hosted.exlibrisgroup.com/primo-explore/search?tab=default_tab&amp;search_scope=EVERYTHING&amp;vid=01CRU&amp;lang=en_US&amp;offset=0&amp;query=any,contains,991004454299702656","Catalog Record")</f>
        <v/>
      </c>
      <c r="AT975">
        <f>HYPERLINK("http://www.worldcat.org/oclc/3517071","WorldCat Record")</f>
        <v/>
      </c>
      <c r="AU975" t="inlineStr">
        <is>
          <t>10713156:eng</t>
        </is>
      </c>
      <c r="AV975" t="inlineStr">
        <is>
          <t>3517071</t>
        </is>
      </c>
      <c r="AW975" t="inlineStr">
        <is>
          <t>991004454299702656</t>
        </is>
      </c>
      <c r="AX975" t="inlineStr">
        <is>
          <t>991004454299702656</t>
        </is>
      </c>
      <c r="AY975" t="inlineStr">
        <is>
          <t>2271039650002656</t>
        </is>
      </c>
      <c r="AZ975" t="inlineStr">
        <is>
          <t>BOOK</t>
        </is>
      </c>
      <c r="BB975" t="inlineStr">
        <is>
          <t>9780818502606</t>
        </is>
      </c>
      <c r="BC975" t="inlineStr">
        <is>
          <t>32285001602910</t>
        </is>
      </c>
      <c r="BD975" t="inlineStr">
        <is>
          <t>893624755</t>
        </is>
      </c>
    </row>
    <row r="976">
      <c r="A976" t="inlineStr">
        <is>
          <t>No</t>
        </is>
      </c>
      <c r="B976" t="inlineStr">
        <is>
          <t>BF713 .N49</t>
        </is>
      </c>
      <c r="C976" t="inlineStr">
        <is>
          <t>0                      BF 0713000N  49</t>
        </is>
      </c>
      <c r="D976" t="inlineStr">
        <is>
          <t>Personality development through the life span / Barbara M. Newman, Philip R. Newman, with the assistance of Luan Wagner Stewart.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Newman, Barbara M.</t>
        </is>
      </c>
      <c r="L976" t="inlineStr">
        <is>
          <t>Monterey, Calif. : Brooks/Cole Pub. Co., c1980.</t>
        </is>
      </c>
      <c r="M976" t="inlineStr">
        <is>
          <t>1980</t>
        </is>
      </c>
      <c r="O976" t="inlineStr">
        <is>
          <t>eng</t>
        </is>
      </c>
      <c r="P976" t="inlineStr">
        <is>
          <t>cau</t>
        </is>
      </c>
      <c r="Q976" t="inlineStr">
        <is>
          <t>The Brooks/Cole life-span human development series</t>
        </is>
      </c>
      <c r="R976" t="inlineStr">
        <is>
          <t xml:space="preserve">BF </t>
        </is>
      </c>
      <c r="S976" t="n">
        <v>9</v>
      </c>
      <c r="T976" t="n">
        <v>9</v>
      </c>
      <c r="U976" t="inlineStr">
        <is>
          <t>2009-11-22</t>
        </is>
      </c>
      <c r="V976" t="inlineStr">
        <is>
          <t>2009-11-22</t>
        </is>
      </c>
      <c r="W976" t="inlineStr">
        <is>
          <t>1990-02-15</t>
        </is>
      </c>
      <c r="X976" t="inlineStr">
        <is>
          <t>1990-02-15</t>
        </is>
      </c>
      <c r="Y976" t="n">
        <v>136</v>
      </c>
      <c r="Z976" t="n">
        <v>116</v>
      </c>
      <c r="AA976" t="n">
        <v>117</v>
      </c>
      <c r="AB976" t="n">
        <v>2</v>
      </c>
      <c r="AC976" t="n">
        <v>2</v>
      </c>
      <c r="AD976" t="n">
        <v>4</v>
      </c>
      <c r="AE976" t="n">
        <v>4</v>
      </c>
      <c r="AF976" t="n">
        <v>1</v>
      </c>
      <c r="AG976" t="n">
        <v>1</v>
      </c>
      <c r="AH976" t="n">
        <v>1</v>
      </c>
      <c r="AI976" t="n">
        <v>1</v>
      </c>
      <c r="AJ976" t="n">
        <v>2</v>
      </c>
      <c r="AK976" t="n">
        <v>2</v>
      </c>
      <c r="AL976" t="n">
        <v>1</v>
      </c>
      <c r="AM976" t="n">
        <v>1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HYPERLINK("http://catalog.hathitrust.org/Record/007116665","HathiTrust Record")</f>
        <v/>
      </c>
      <c r="AS976">
        <f>HYPERLINK("https://creighton-primo.hosted.exlibrisgroup.com/primo-explore/search?tab=default_tab&amp;search_scope=EVERYTHING&amp;vid=01CRU&amp;lang=en_US&amp;offset=0&amp;query=any,contains,991004951639702656","Catalog Record")</f>
        <v/>
      </c>
      <c r="AT976">
        <f>HYPERLINK("http://www.worldcat.org/oclc/6250657","WorldCat Record")</f>
        <v/>
      </c>
      <c r="AU976" t="inlineStr">
        <is>
          <t>482740:eng</t>
        </is>
      </c>
      <c r="AV976" t="inlineStr">
        <is>
          <t>6250657</t>
        </is>
      </c>
      <c r="AW976" t="inlineStr">
        <is>
          <t>991004951639702656</t>
        </is>
      </c>
      <c r="AX976" t="inlineStr">
        <is>
          <t>991004951639702656</t>
        </is>
      </c>
      <c r="AY976" t="inlineStr">
        <is>
          <t>2264870550002656</t>
        </is>
      </c>
      <c r="AZ976" t="inlineStr">
        <is>
          <t>BOOK</t>
        </is>
      </c>
      <c r="BB976" t="inlineStr">
        <is>
          <t>9780818503801</t>
        </is>
      </c>
      <c r="BC976" t="inlineStr">
        <is>
          <t>32285000053909</t>
        </is>
      </c>
      <c r="BD976" t="inlineStr">
        <is>
          <t>893526692</t>
        </is>
      </c>
    </row>
    <row r="977">
      <c r="A977" t="inlineStr">
        <is>
          <t>No</t>
        </is>
      </c>
      <c r="B977" t="inlineStr">
        <is>
          <t>BF713 .N67 1984</t>
        </is>
      </c>
      <c r="C977" t="inlineStr">
        <is>
          <t>0                      BF 0713000N  67          1984</t>
        </is>
      </c>
      <c r="D977" t="inlineStr">
        <is>
          <t>Normality and the life cycle : a critical integration / edited by Daniel Offer and Melvin Sabshin.</t>
        </is>
      </c>
      <c r="F977" t="inlineStr">
        <is>
          <t>No</t>
        </is>
      </c>
      <c r="G977" t="inlineStr">
        <is>
          <t>1</t>
        </is>
      </c>
      <c r="H977" t="inlineStr">
        <is>
          <t>Yes</t>
        </is>
      </c>
      <c r="I977" t="inlineStr">
        <is>
          <t>No</t>
        </is>
      </c>
      <c r="J977" t="inlineStr">
        <is>
          <t>0</t>
        </is>
      </c>
      <c r="L977" t="inlineStr">
        <is>
          <t>New York : Basic Books, c1984.</t>
        </is>
      </c>
      <c r="M977" t="inlineStr">
        <is>
          <t>1984</t>
        </is>
      </c>
      <c r="O977" t="inlineStr">
        <is>
          <t>eng</t>
        </is>
      </c>
      <c r="P977" t="inlineStr">
        <is>
          <t>nyu</t>
        </is>
      </c>
      <c r="R977" t="inlineStr">
        <is>
          <t xml:space="preserve">BF </t>
        </is>
      </c>
      <c r="S977" t="n">
        <v>2</v>
      </c>
      <c r="T977" t="n">
        <v>2</v>
      </c>
      <c r="U977" t="inlineStr">
        <is>
          <t>2003-04-15</t>
        </is>
      </c>
      <c r="V977" t="inlineStr">
        <is>
          <t>2003-04-15</t>
        </is>
      </c>
      <c r="W977" t="inlineStr">
        <is>
          <t>1993-04-06</t>
        </is>
      </c>
      <c r="X977" t="inlineStr">
        <is>
          <t>1993-04-06</t>
        </is>
      </c>
      <c r="Y977" t="n">
        <v>462</v>
      </c>
      <c r="Z977" t="n">
        <v>403</v>
      </c>
      <c r="AA977" t="n">
        <v>410</v>
      </c>
      <c r="AB977" t="n">
        <v>5</v>
      </c>
      <c r="AC977" t="n">
        <v>5</v>
      </c>
      <c r="AD977" t="n">
        <v>20</v>
      </c>
      <c r="AE977" t="n">
        <v>20</v>
      </c>
      <c r="AF977" t="n">
        <v>6</v>
      </c>
      <c r="AG977" t="n">
        <v>6</v>
      </c>
      <c r="AH977" t="n">
        <v>5</v>
      </c>
      <c r="AI977" t="n">
        <v>5</v>
      </c>
      <c r="AJ977" t="n">
        <v>13</v>
      </c>
      <c r="AK977" t="n">
        <v>13</v>
      </c>
      <c r="AL977" t="n">
        <v>3</v>
      </c>
      <c r="AM977" t="n">
        <v>3</v>
      </c>
      <c r="AN977" t="n">
        <v>0</v>
      </c>
      <c r="AO977" t="n">
        <v>0</v>
      </c>
      <c r="AP977" t="inlineStr">
        <is>
          <t>No</t>
        </is>
      </c>
      <c r="AQ977" t="inlineStr">
        <is>
          <t>Yes</t>
        </is>
      </c>
      <c r="AR977">
        <f>HYPERLINK("http://catalog.hathitrust.org/Record/000404355","HathiTrust Record")</f>
        <v/>
      </c>
      <c r="AS977">
        <f>HYPERLINK("https://creighton-primo.hosted.exlibrisgroup.com/primo-explore/search?tab=default_tab&amp;search_scope=EVERYTHING&amp;vid=01CRU&amp;lang=en_US&amp;offset=0&amp;query=any,contains,991000378649702656","Catalog Record")</f>
        <v/>
      </c>
      <c r="AT977">
        <f>HYPERLINK("http://www.worldcat.org/oclc/10483426","WorldCat Record")</f>
        <v/>
      </c>
      <c r="AU977" t="inlineStr">
        <is>
          <t>908768022:eng</t>
        </is>
      </c>
      <c r="AV977" t="inlineStr">
        <is>
          <t>10483426</t>
        </is>
      </c>
      <c r="AW977" t="inlineStr">
        <is>
          <t>991000378649702656</t>
        </is>
      </c>
      <c r="AX977" t="inlineStr">
        <is>
          <t>991000378649702656</t>
        </is>
      </c>
      <c r="AY977" t="inlineStr">
        <is>
          <t>2263345760002656</t>
        </is>
      </c>
      <c r="AZ977" t="inlineStr">
        <is>
          <t>BOOK</t>
        </is>
      </c>
      <c r="BB977" t="inlineStr">
        <is>
          <t>9780465051489</t>
        </is>
      </c>
      <c r="BC977" t="inlineStr">
        <is>
          <t>32285001602928</t>
        </is>
      </c>
      <c r="BD977" t="inlineStr">
        <is>
          <t>893802713</t>
        </is>
      </c>
    </row>
    <row r="978">
      <c r="A978" t="inlineStr">
        <is>
          <t>No</t>
        </is>
      </c>
      <c r="B978" t="inlineStr">
        <is>
          <t>BF713 .P79</t>
        </is>
      </c>
      <c r="C978" t="inlineStr">
        <is>
          <t>0                      BF 0713000P  79</t>
        </is>
      </c>
      <c r="D978" t="inlineStr">
        <is>
          <t>Psychosocial caring throughout the life span / editors, Irene Mortenson Burnside, Priscilla Ebersole, Helen Elena Monea.</t>
        </is>
      </c>
      <c r="F978" t="inlineStr">
        <is>
          <t>No</t>
        </is>
      </c>
      <c r="G978" t="inlineStr">
        <is>
          <t>1</t>
        </is>
      </c>
      <c r="H978" t="inlineStr">
        <is>
          <t>Yes</t>
        </is>
      </c>
      <c r="I978" t="inlineStr">
        <is>
          <t>No</t>
        </is>
      </c>
      <c r="J978" t="inlineStr">
        <is>
          <t>0</t>
        </is>
      </c>
      <c r="L978" t="inlineStr">
        <is>
          <t>New York : McGraw-Hill, c1979.</t>
        </is>
      </c>
      <c r="M978" t="inlineStr">
        <is>
          <t>1979</t>
        </is>
      </c>
      <c r="O978" t="inlineStr">
        <is>
          <t>eng</t>
        </is>
      </c>
      <c r="P978" t="inlineStr">
        <is>
          <t>nyu</t>
        </is>
      </c>
      <c r="R978" t="inlineStr">
        <is>
          <t xml:space="preserve">BF </t>
        </is>
      </c>
      <c r="S978" t="n">
        <v>8</v>
      </c>
      <c r="T978" t="n">
        <v>19</v>
      </c>
      <c r="U978" t="inlineStr">
        <is>
          <t>2009-03-24</t>
        </is>
      </c>
      <c r="V978" t="inlineStr">
        <is>
          <t>2009-03-24</t>
        </is>
      </c>
      <c r="W978" t="inlineStr">
        <is>
          <t>1990-07-23</t>
        </is>
      </c>
      <c r="X978" t="inlineStr">
        <is>
          <t>1990-07-23</t>
        </is>
      </c>
      <c r="Y978" t="n">
        <v>415</v>
      </c>
      <c r="Z978" t="n">
        <v>333</v>
      </c>
      <c r="AA978" t="n">
        <v>335</v>
      </c>
      <c r="AB978" t="n">
        <v>3</v>
      </c>
      <c r="AC978" t="n">
        <v>3</v>
      </c>
      <c r="AD978" t="n">
        <v>15</v>
      </c>
      <c r="AE978" t="n">
        <v>15</v>
      </c>
      <c r="AF978" t="n">
        <v>6</v>
      </c>
      <c r="AG978" t="n">
        <v>6</v>
      </c>
      <c r="AH978" t="n">
        <v>4</v>
      </c>
      <c r="AI978" t="n">
        <v>4</v>
      </c>
      <c r="AJ978" t="n">
        <v>9</v>
      </c>
      <c r="AK978" t="n">
        <v>9</v>
      </c>
      <c r="AL978" t="n">
        <v>1</v>
      </c>
      <c r="AM978" t="n">
        <v>1</v>
      </c>
      <c r="AN978" t="n">
        <v>0</v>
      </c>
      <c r="AO978" t="n">
        <v>0</v>
      </c>
      <c r="AP978" t="inlineStr">
        <is>
          <t>No</t>
        </is>
      </c>
      <c r="AQ978" t="inlineStr">
        <is>
          <t>Yes</t>
        </is>
      </c>
      <c r="AR978">
        <f>HYPERLINK("http://catalog.hathitrust.org/Record/000177841","HathiTrust Record")</f>
        <v/>
      </c>
      <c r="AS978">
        <f>HYPERLINK("https://creighton-primo.hosted.exlibrisgroup.com/primo-explore/search?tab=default_tab&amp;search_scope=EVERYTHING&amp;vid=01CRU&amp;lang=en_US&amp;offset=0&amp;query=any,contains,991001759529702656","Catalog Record")</f>
        <v/>
      </c>
      <c r="AT978">
        <f>HYPERLINK("http://www.worldcat.org/oclc/4036839","WorldCat Record")</f>
        <v/>
      </c>
      <c r="AU978" t="inlineStr">
        <is>
          <t>14276475:eng</t>
        </is>
      </c>
      <c r="AV978" t="inlineStr">
        <is>
          <t>4036839</t>
        </is>
      </c>
      <c r="AW978" t="inlineStr">
        <is>
          <t>991001759529702656</t>
        </is>
      </c>
      <c r="AX978" t="inlineStr">
        <is>
          <t>991001759529702656</t>
        </is>
      </c>
      <c r="AY978" t="inlineStr">
        <is>
          <t>2269102810002656</t>
        </is>
      </c>
      <c r="AZ978" t="inlineStr">
        <is>
          <t>BOOK</t>
        </is>
      </c>
      <c r="BB978" t="inlineStr">
        <is>
          <t>9780070092136</t>
        </is>
      </c>
      <c r="BC978" t="inlineStr">
        <is>
          <t>32285000247139</t>
        </is>
      </c>
      <c r="BD978" t="inlineStr">
        <is>
          <t>893703305</t>
        </is>
      </c>
    </row>
    <row r="979">
      <c r="A979" t="inlineStr">
        <is>
          <t>No</t>
        </is>
      </c>
      <c r="B979" t="inlineStr">
        <is>
          <t>BF713 .T87 1983</t>
        </is>
      </c>
      <c r="C979" t="inlineStr">
        <is>
          <t>0                      BF 0713000T  87          1983</t>
        </is>
      </c>
      <c r="D979" t="inlineStr">
        <is>
          <t>Lifespan development / Jeffrey S. Turner, Donald B. Helms.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Turner, Jeffrey S.</t>
        </is>
      </c>
      <c r="L979" t="inlineStr">
        <is>
          <t>New York : Holt, Rinehart, and Winston, c1983.</t>
        </is>
      </c>
      <c r="M979" t="inlineStr">
        <is>
          <t>1983</t>
        </is>
      </c>
      <c r="N979" t="inlineStr">
        <is>
          <t>2nd ed.</t>
        </is>
      </c>
      <c r="O979" t="inlineStr">
        <is>
          <t>eng</t>
        </is>
      </c>
      <c r="P979" t="inlineStr">
        <is>
          <t>nyu</t>
        </is>
      </c>
      <c r="R979" t="inlineStr">
        <is>
          <t xml:space="preserve">BF </t>
        </is>
      </c>
      <c r="S979" t="n">
        <v>8</v>
      </c>
      <c r="T979" t="n">
        <v>8</v>
      </c>
      <c r="U979" t="inlineStr">
        <is>
          <t>2009-03-19</t>
        </is>
      </c>
      <c r="V979" t="inlineStr">
        <is>
          <t>2009-03-19</t>
        </is>
      </c>
      <c r="W979" t="inlineStr">
        <is>
          <t>1991-12-13</t>
        </is>
      </c>
      <c r="X979" t="inlineStr">
        <is>
          <t>1991-12-13</t>
        </is>
      </c>
      <c r="Y979" t="n">
        <v>166</v>
      </c>
      <c r="Z979" t="n">
        <v>93</v>
      </c>
      <c r="AA979" t="n">
        <v>355</v>
      </c>
      <c r="AB979" t="n">
        <v>1</v>
      </c>
      <c r="AC979" t="n">
        <v>2</v>
      </c>
      <c r="AD979" t="n">
        <v>4</v>
      </c>
      <c r="AE979" t="n">
        <v>18</v>
      </c>
      <c r="AF979" t="n">
        <v>3</v>
      </c>
      <c r="AG979" t="n">
        <v>9</v>
      </c>
      <c r="AH979" t="n">
        <v>0</v>
      </c>
      <c r="AI979" t="n">
        <v>2</v>
      </c>
      <c r="AJ979" t="n">
        <v>1</v>
      </c>
      <c r="AK979" t="n">
        <v>8</v>
      </c>
      <c r="AL979" t="n">
        <v>0</v>
      </c>
      <c r="AM979" t="n">
        <v>1</v>
      </c>
      <c r="AN979" t="n">
        <v>0</v>
      </c>
      <c r="AO979" t="n">
        <v>0</v>
      </c>
      <c r="AP979" t="inlineStr">
        <is>
          <t>No</t>
        </is>
      </c>
      <c r="AQ979" t="inlineStr">
        <is>
          <t>Yes</t>
        </is>
      </c>
      <c r="AR979">
        <f>HYPERLINK("http://catalog.hathitrust.org/Record/000630153","HathiTrust Record")</f>
        <v/>
      </c>
      <c r="AS979">
        <f>HYPERLINK("https://creighton-primo.hosted.exlibrisgroup.com/primo-explore/search?tab=default_tab&amp;search_scope=EVERYTHING&amp;vid=01CRU&amp;lang=en_US&amp;offset=0&amp;query=any,contains,991005215219702656","Catalog Record")</f>
        <v/>
      </c>
      <c r="AT979">
        <f>HYPERLINK("http://www.worldcat.org/oclc/8805749","WorldCat Record")</f>
        <v/>
      </c>
      <c r="AU979" t="inlineStr">
        <is>
          <t>3893611923:eng</t>
        </is>
      </c>
      <c r="AV979" t="inlineStr">
        <is>
          <t>8805749</t>
        </is>
      </c>
      <c r="AW979" t="inlineStr">
        <is>
          <t>991005215219702656</t>
        </is>
      </c>
      <c r="AX979" t="inlineStr">
        <is>
          <t>991005215219702656</t>
        </is>
      </c>
      <c r="AY979" t="inlineStr">
        <is>
          <t>2270536640002656</t>
        </is>
      </c>
      <c r="AZ979" t="inlineStr">
        <is>
          <t>BOOK</t>
        </is>
      </c>
      <c r="BB979" t="inlineStr">
        <is>
          <t>9780030629532</t>
        </is>
      </c>
      <c r="BC979" t="inlineStr">
        <is>
          <t>32285000905561</t>
        </is>
      </c>
      <c r="BD979" t="inlineStr">
        <is>
          <t>893254657</t>
        </is>
      </c>
    </row>
    <row r="980">
      <c r="A980" t="inlineStr">
        <is>
          <t>No</t>
        </is>
      </c>
      <c r="B980" t="inlineStr">
        <is>
          <t>BF713 .T97 1990</t>
        </is>
      </c>
      <c r="C980" t="inlineStr">
        <is>
          <t>0                      BF 0713000T  97          1990</t>
        </is>
      </c>
      <c r="D980" t="inlineStr">
        <is>
          <t>Psychoanalytic theories of development : an integration / Phyllis Tyson, Robert L. Tyson ; foreword by Robert S. Wallerstein.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Tyson, Phyllis, 1941-</t>
        </is>
      </c>
      <c r="L980" t="inlineStr">
        <is>
          <t>New Haven, CT : Yale University Press, c1990.</t>
        </is>
      </c>
      <c r="M980" t="inlineStr">
        <is>
          <t>1990</t>
        </is>
      </c>
      <c r="O980" t="inlineStr">
        <is>
          <t>eng</t>
        </is>
      </c>
      <c r="P980" t="inlineStr">
        <is>
          <t>ctu</t>
        </is>
      </c>
      <c r="R980" t="inlineStr">
        <is>
          <t xml:space="preserve">BF </t>
        </is>
      </c>
      <c r="S980" t="n">
        <v>5</v>
      </c>
      <c r="T980" t="n">
        <v>5</v>
      </c>
      <c r="U980" t="inlineStr">
        <is>
          <t>2004-10-14</t>
        </is>
      </c>
      <c r="V980" t="inlineStr">
        <is>
          <t>2004-10-14</t>
        </is>
      </c>
      <c r="W980" t="inlineStr">
        <is>
          <t>1991-02-22</t>
        </is>
      </c>
      <c r="X980" t="inlineStr">
        <is>
          <t>1991-02-22</t>
        </is>
      </c>
      <c r="Y980" t="n">
        <v>430</v>
      </c>
      <c r="Z980" t="n">
        <v>336</v>
      </c>
      <c r="AA980" t="n">
        <v>336</v>
      </c>
      <c r="AB980" t="n">
        <v>4</v>
      </c>
      <c r="AC980" t="n">
        <v>4</v>
      </c>
      <c r="AD980" t="n">
        <v>18</v>
      </c>
      <c r="AE980" t="n">
        <v>18</v>
      </c>
      <c r="AF980" t="n">
        <v>6</v>
      </c>
      <c r="AG980" t="n">
        <v>6</v>
      </c>
      <c r="AH980" t="n">
        <v>4</v>
      </c>
      <c r="AI980" t="n">
        <v>4</v>
      </c>
      <c r="AJ980" t="n">
        <v>11</v>
      </c>
      <c r="AK980" t="n">
        <v>11</v>
      </c>
      <c r="AL980" t="n">
        <v>2</v>
      </c>
      <c r="AM980" t="n">
        <v>2</v>
      </c>
      <c r="AN980" t="n">
        <v>0</v>
      </c>
      <c r="AO980" t="n">
        <v>0</v>
      </c>
      <c r="AP980" t="inlineStr">
        <is>
          <t>No</t>
        </is>
      </c>
      <c r="AQ980" t="inlineStr">
        <is>
          <t>No</t>
        </is>
      </c>
      <c r="AS980">
        <f>HYPERLINK("https://creighton-primo.hosted.exlibrisgroup.com/primo-explore/search?tab=default_tab&amp;search_scope=EVERYTHING&amp;vid=01CRU&amp;lang=en_US&amp;offset=0&amp;query=any,contains,991001664269702656","Catalog Record")</f>
        <v/>
      </c>
      <c r="AT980">
        <f>HYPERLINK("http://www.worldcat.org/oclc/21197269","WorldCat Record")</f>
        <v/>
      </c>
      <c r="AU980" t="inlineStr">
        <is>
          <t>797251616:eng</t>
        </is>
      </c>
      <c r="AV980" t="inlineStr">
        <is>
          <t>21197269</t>
        </is>
      </c>
      <c r="AW980" t="inlineStr">
        <is>
          <t>991001664269702656</t>
        </is>
      </c>
      <c r="AX980" t="inlineStr">
        <is>
          <t>991001664269702656</t>
        </is>
      </c>
      <c r="AY980" t="inlineStr">
        <is>
          <t>2269784860002656</t>
        </is>
      </c>
      <c r="AZ980" t="inlineStr">
        <is>
          <t>BOOK</t>
        </is>
      </c>
      <c r="BB980" t="inlineStr">
        <is>
          <t>9780300045789</t>
        </is>
      </c>
      <c r="BC980" t="inlineStr">
        <is>
          <t>32285000492545</t>
        </is>
      </c>
      <c r="BD980" t="inlineStr">
        <is>
          <t>893351953</t>
        </is>
      </c>
    </row>
    <row r="981">
      <c r="A981" t="inlineStr">
        <is>
          <t>No</t>
        </is>
      </c>
      <c r="B981" t="inlineStr">
        <is>
          <t>BF713 .W32 1982</t>
        </is>
      </c>
      <c r="C981" t="inlineStr">
        <is>
          <t>0                      BF 0713000W  32          1982</t>
        </is>
      </c>
      <c r="D981" t="inlineStr">
        <is>
          <t>Early experience and human development / Theodore D. Wachs and Gerald E. Gruen.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Wachs, Theodore D., 1941-</t>
        </is>
      </c>
      <c r="L981" t="inlineStr">
        <is>
          <t>New York : Plenum Press, c1982.</t>
        </is>
      </c>
      <c r="M981" t="inlineStr">
        <is>
          <t>1982</t>
        </is>
      </c>
      <c r="O981" t="inlineStr">
        <is>
          <t>eng</t>
        </is>
      </c>
      <c r="P981" t="inlineStr">
        <is>
          <t>nyu</t>
        </is>
      </c>
      <c r="R981" t="inlineStr">
        <is>
          <t xml:space="preserve">BF </t>
        </is>
      </c>
      <c r="S981" t="n">
        <v>3</v>
      </c>
      <c r="T981" t="n">
        <v>3</v>
      </c>
      <c r="U981" t="inlineStr">
        <is>
          <t>2008-11-14</t>
        </is>
      </c>
      <c r="V981" t="inlineStr">
        <is>
          <t>2008-11-14</t>
        </is>
      </c>
      <c r="W981" t="inlineStr">
        <is>
          <t>1993-04-06</t>
        </is>
      </c>
      <c r="X981" t="inlineStr">
        <is>
          <t>1993-04-06</t>
        </is>
      </c>
      <c r="Y981" t="n">
        <v>467</v>
      </c>
      <c r="Z981" t="n">
        <v>337</v>
      </c>
      <c r="AA981" t="n">
        <v>347</v>
      </c>
      <c r="AB981" t="n">
        <v>3</v>
      </c>
      <c r="AC981" t="n">
        <v>3</v>
      </c>
      <c r="AD981" t="n">
        <v>6</v>
      </c>
      <c r="AE981" t="n">
        <v>7</v>
      </c>
      <c r="AF981" t="n">
        <v>1</v>
      </c>
      <c r="AG981" t="n">
        <v>2</v>
      </c>
      <c r="AH981" t="n">
        <v>2</v>
      </c>
      <c r="AI981" t="n">
        <v>2</v>
      </c>
      <c r="AJ981" t="n">
        <v>2</v>
      </c>
      <c r="AK981" t="n">
        <v>3</v>
      </c>
      <c r="AL981" t="n">
        <v>2</v>
      </c>
      <c r="AM981" t="n">
        <v>2</v>
      </c>
      <c r="AN981" t="n">
        <v>0</v>
      </c>
      <c r="AO981" t="n">
        <v>0</v>
      </c>
      <c r="AP981" t="inlineStr">
        <is>
          <t>No</t>
        </is>
      </c>
      <c r="AQ981" t="inlineStr">
        <is>
          <t>Yes</t>
        </is>
      </c>
      <c r="AR981">
        <f>HYPERLINK("http://catalog.hathitrust.org/Record/000106157","HathiTrust Record")</f>
        <v/>
      </c>
      <c r="AS981">
        <f>HYPERLINK("https://creighton-primo.hosted.exlibrisgroup.com/primo-explore/search?tab=default_tab&amp;search_scope=EVERYTHING&amp;vid=01CRU&amp;lang=en_US&amp;offset=0&amp;query=any,contains,991005234149702656","Catalog Record")</f>
        <v/>
      </c>
      <c r="AT981">
        <f>HYPERLINK("http://www.worldcat.org/oclc/8347745","WorldCat Record")</f>
        <v/>
      </c>
      <c r="AU981" t="inlineStr">
        <is>
          <t>437824:eng</t>
        </is>
      </c>
      <c r="AV981" t="inlineStr">
        <is>
          <t>8347745</t>
        </is>
      </c>
      <c r="AW981" t="inlineStr">
        <is>
          <t>991005234149702656</t>
        </is>
      </c>
      <c r="AX981" t="inlineStr">
        <is>
          <t>991005234149702656</t>
        </is>
      </c>
      <c r="AY981" t="inlineStr">
        <is>
          <t>2264239730002656</t>
        </is>
      </c>
      <c r="AZ981" t="inlineStr">
        <is>
          <t>BOOK</t>
        </is>
      </c>
      <c r="BB981" t="inlineStr">
        <is>
          <t>9780306406850</t>
        </is>
      </c>
      <c r="BC981" t="inlineStr">
        <is>
          <t>32285001602944</t>
        </is>
      </c>
      <c r="BD981" t="inlineStr">
        <is>
          <t>893350952</t>
        </is>
      </c>
    </row>
    <row r="982">
      <c r="A982" t="inlineStr">
        <is>
          <t>No</t>
        </is>
      </c>
      <c r="B982" t="inlineStr">
        <is>
          <t>BF713.5 .D48 1984</t>
        </is>
      </c>
      <c r="C982" t="inlineStr">
        <is>
          <t>0                      BF 0713500D  48          1984</t>
        </is>
      </c>
      <c r="D982" t="inlineStr">
        <is>
          <t>Developmental psychology : an advanced textbook / edited by Marc H. Bornstein, Michael E. Lamb.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L982" t="inlineStr">
        <is>
          <t>Hillsdale, N.J. : L. Erlbaum Associates, Publishers, 1984.</t>
        </is>
      </c>
      <c r="M982" t="inlineStr">
        <is>
          <t>1984</t>
        </is>
      </c>
      <c r="O982" t="inlineStr">
        <is>
          <t>eng</t>
        </is>
      </c>
      <c r="P982" t="inlineStr">
        <is>
          <t>nju</t>
        </is>
      </c>
      <c r="R982" t="inlineStr">
        <is>
          <t xml:space="preserve">BF </t>
        </is>
      </c>
      <c r="S982" t="n">
        <v>4</v>
      </c>
      <c r="T982" t="n">
        <v>4</v>
      </c>
      <c r="U982" t="inlineStr">
        <is>
          <t>2005-09-02</t>
        </is>
      </c>
      <c r="V982" t="inlineStr">
        <is>
          <t>2005-09-02</t>
        </is>
      </c>
      <c r="W982" t="inlineStr">
        <is>
          <t>1992-12-11</t>
        </is>
      </c>
      <c r="X982" t="inlineStr">
        <is>
          <t>1992-12-11</t>
        </is>
      </c>
      <c r="Y982" t="n">
        <v>266</v>
      </c>
      <c r="Z982" t="n">
        <v>195</v>
      </c>
      <c r="AA982" t="n">
        <v>1245</v>
      </c>
      <c r="AB982" t="n">
        <v>2</v>
      </c>
      <c r="AC982" t="n">
        <v>3</v>
      </c>
      <c r="AD982" t="n">
        <v>14</v>
      </c>
      <c r="AE982" t="n">
        <v>39</v>
      </c>
      <c r="AF982" t="n">
        <v>3</v>
      </c>
      <c r="AG982" t="n">
        <v>17</v>
      </c>
      <c r="AH982" t="n">
        <v>4</v>
      </c>
      <c r="AI982" t="n">
        <v>11</v>
      </c>
      <c r="AJ982" t="n">
        <v>8</v>
      </c>
      <c r="AK982" t="n">
        <v>20</v>
      </c>
      <c r="AL982" t="n">
        <v>1</v>
      </c>
      <c r="AM982" t="n">
        <v>2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HYPERLINK("http://catalog.hathitrust.org/Record/000168348","HathiTrust Record")</f>
        <v/>
      </c>
      <c r="AS982">
        <f>HYPERLINK("https://creighton-primo.hosted.exlibrisgroup.com/primo-explore/search?tab=default_tab&amp;search_scope=EVERYTHING&amp;vid=01CRU&amp;lang=en_US&amp;offset=0&amp;query=any,contains,991000432109702656","Catalog Record")</f>
        <v/>
      </c>
      <c r="AT982">
        <f>HYPERLINK("http://www.worldcat.org/oclc/10779468","WorldCat Record")</f>
        <v/>
      </c>
      <c r="AU982" t="inlineStr">
        <is>
          <t>895880707:eng</t>
        </is>
      </c>
      <c r="AV982" t="inlineStr">
        <is>
          <t>10779468</t>
        </is>
      </c>
      <c r="AW982" t="inlineStr">
        <is>
          <t>991000432109702656</t>
        </is>
      </c>
      <c r="AX982" t="inlineStr">
        <is>
          <t>991000432109702656</t>
        </is>
      </c>
      <c r="AY982" t="inlineStr">
        <is>
          <t>2268359180002656</t>
        </is>
      </c>
      <c r="AZ982" t="inlineStr">
        <is>
          <t>BOOK</t>
        </is>
      </c>
      <c r="BB982" t="inlineStr">
        <is>
          <t>9780898593761</t>
        </is>
      </c>
      <c r="BC982" t="inlineStr">
        <is>
          <t>32285001441723</t>
        </is>
      </c>
      <c r="BD982" t="inlineStr">
        <is>
          <t>893528045</t>
        </is>
      </c>
    </row>
    <row r="983">
      <c r="A983" t="inlineStr">
        <is>
          <t>No</t>
        </is>
      </c>
      <c r="B983" t="inlineStr">
        <is>
          <t>BF713.5 .K34 1989</t>
        </is>
      </c>
      <c r="C983" t="inlineStr">
        <is>
          <t>0                      BF 0713500K  34          1989</t>
        </is>
      </c>
      <c r="D983" t="inlineStr">
        <is>
          <t>Unstable ideas : temperament, cognition, and self / Jerome Kagan.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Kagan, Jerome.</t>
        </is>
      </c>
      <c r="L983" t="inlineStr">
        <is>
          <t>Cambridge, Mass. : Harvard University Press, 1989.</t>
        </is>
      </c>
      <c r="M983" t="inlineStr">
        <is>
          <t>1989</t>
        </is>
      </c>
      <c r="O983" t="inlineStr">
        <is>
          <t>eng</t>
        </is>
      </c>
      <c r="P983" t="inlineStr">
        <is>
          <t>mau</t>
        </is>
      </c>
      <c r="R983" t="inlineStr">
        <is>
          <t xml:space="preserve">BF </t>
        </is>
      </c>
      <c r="S983" t="n">
        <v>8</v>
      </c>
      <c r="T983" t="n">
        <v>8</v>
      </c>
      <c r="U983" t="inlineStr">
        <is>
          <t>2000-03-08</t>
        </is>
      </c>
      <c r="V983" t="inlineStr">
        <is>
          <t>2000-03-08</t>
        </is>
      </c>
      <c r="W983" t="inlineStr">
        <is>
          <t>1989-10-20</t>
        </is>
      </c>
      <c r="X983" t="inlineStr">
        <is>
          <t>1989-10-20</t>
        </is>
      </c>
      <c r="Y983" t="n">
        <v>770</v>
      </c>
      <c r="Z983" t="n">
        <v>636</v>
      </c>
      <c r="AA983" t="n">
        <v>643</v>
      </c>
      <c r="AB983" t="n">
        <v>6</v>
      </c>
      <c r="AC983" t="n">
        <v>6</v>
      </c>
      <c r="AD983" t="n">
        <v>32</v>
      </c>
      <c r="AE983" t="n">
        <v>32</v>
      </c>
      <c r="AF983" t="n">
        <v>12</v>
      </c>
      <c r="AG983" t="n">
        <v>12</v>
      </c>
      <c r="AH983" t="n">
        <v>5</v>
      </c>
      <c r="AI983" t="n">
        <v>5</v>
      </c>
      <c r="AJ983" t="n">
        <v>18</v>
      </c>
      <c r="AK983" t="n">
        <v>18</v>
      </c>
      <c r="AL983" t="n">
        <v>5</v>
      </c>
      <c r="AM983" t="n">
        <v>5</v>
      </c>
      <c r="AN983" t="n">
        <v>0</v>
      </c>
      <c r="AO983" t="n">
        <v>0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HYPERLINK("http://catalog.hathitrust.org/Record/001093541","HathiTrust Record")</f>
        <v/>
      </c>
      <c r="AS983">
        <f>HYPERLINK("https://creighton-primo.hosted.exlibrisgroup.com/primo-explore/search?tab=default_tab&amp;search_scope=EVERYTHING&amp;vid=01CRU&amp;lang=en_US&amp;offset=0&amp;query=any,contains,991001353319702656","Catalog Record")</f>
        <v/>
      </c>
      <c r="AT983">
        <f>HYPERLINK("http://www.worldcat.org/oclc/18462876","WorldCat Record")</f>
        <v/>
      </c>
      <c r="AU983" t="inlineStr">
        <is>
          <t>2685166:eng</t>
        </is>
      </c>
      <c r="AV983" t="inlineStr">
        <is>
          <t>18462876</t>
        </is>
      </c>
      <c r="AW983" t="inlineStr">
        <is>
          <t>991001353319702656</t>
        </is>
      </c>
      <c r="AX983" t="inlineStr">
        <is>
          <t>991001353319702656</t>
        </is>
      </c>
      <c r="AY983" t="inlineStr">
        <is>
          <t>2257749240002656</t>
        </is>
      </c>
      <c r="AZ983" t="inlineStr">
        <is>
          <t>BOOK</t>
        </is>
      </c>
      <c r="BB983" t="inlineStr">
        <is>
          <t>9780674930384</t>
        </is>
      </c>
      <c r="BC983" t="inlineStr">
        <is>
          <t>32285000001007</t>
        </is>
      </c>
      <c r="BD983" t="inlineStr">
        <is>
          <t>893340364</t>
        </is>
      </c>
    </row>
    <row r="984">
      <c r="A984" t="inlineStr">
        <is>
          <t>No</t>
        </is>
      </c>
      <c r="B984" t="inlineStr">
        <is>
          <t>BF717 .E84 1977</t>
        </is>
      </c>
      <c r="C984" t="inlineStr">
        <is>
          <t>0                      BF 0717000E  84          1977</t>
        </is>
      </c>
      <c r="D984" t="inlineStr">
        <is>
          <t>Evolution of play behavior / edited by Dietland Müller-Schwarze. --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L984" t="inlineStr">
        <is>
          <t>Stroudsburg, Pa. : Dowden, Hutchinson &amp; Ross, c1978.</t>
        </is>
      </c>
      <c r="M984" t="inlineStr">
        <is>
          <t>1977</t>
        </is>
      </c>
      <c r="O984" t="inlineStr">
        <is>
          <t>eng</t>
        </is>
      </c>
      <c r="P984" t="inlineStr">
        <is>
          <t>pau</t>
        </is>
      </c>
      <c r="Q984" t="inlineStr">
        <is>
          <t>Benchmark papers is animal behavior ; 10</t>
        </is>
      </c>
      <c r="R984" t="inlineStr">
        <is>
          <t xml:space="preserve">BF </t>
        </is>
      </c>
      <c r="S984" t="n">
        <v>1</v>
      </c>
      <c r="T984" t="n">
        <v>1</v>
      </c>
      <c r="U984" t="inlineStr">
        <is>
          <t>2000-11-22</t>
        </is>
      </c>
      <c r="V984" t="inlineStr">
        <is>
          <t>2000-11-22</t>
        </is>
      </c>
      <c r="W984" t="inlineStr">
        <is>
          <t>1993-04-15</t>
        </is>
      </c>
      <c r="X984" t="inlineStr">
        <is>
          <t>1993-04-15</t>
        </is>
      </c>
      <c r="Y984" t="n">
        <v>431</v>
      </c>
      <c r="Z984" t="n">
        <v>325</v>
      </c>
      <c r="AA984" t="n">
        <v>334</v>
      </c>
      <c r="AB984" t="n">
        <v>3</v>
      </c>
      <c r="AC984" t="n">
        <v>3</v>
      </c>
      <c r="AD984" t="n">
        <v>11</v>
      </c>
      <c r="AE984" t="n">
        <v>11</v>
      </c>
      <c r="AF984" t="n">
        <v>4</v>
      </c>
      <c r="AG984" t="n">
        <v>4</v>
      </c>
      <c r="AH984" t="n">
        <v>3</v>
      </c>
      <c r="AI984" t="n">
        <v>3</v>
      </c>
      <c r="AJ984" t="n">
        <v>5</v>
      </c>
      <c r="AK984" t="n">
        <v>5</v>
      </c>
      <c r="AL984" t="n">
        <v>2</v>
      </c>
      <c r="AM984" t="n">
        <v>2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HYPERLINK("http://catalog.hathitrust.org/Record/000210657","HathiTrust Record")</f>
        <v/>
      </c>
      <c r="AS984">
        <f>HYPERLINK("https://creighton-primo.hosted.exlibrisgroup.com/primo-explore/search?tab=default_tab&amp;search_scope=EVERYTHING&amp;vid=01CRU&amp;lang=en_US&amp;offset=0&amp;query=any,contains,991004254539702656","Catalog Record")</f>
        <v/>
      </c>
      <c r="AT984">
        <f>HYPERLINK("http://www.worldcat.org/oclc/2818803","WorldCat Record")</f>
        <v/>
      </c>
      <c r="AU984" t="inlineStr">
        <is>
          <t>54161061:eng</t>
        </is>
      </c>
      <c r="AV984" t="inlineStr">
        <is>
          <t>2818803</t>
        </is>
      </c>
      <c r="AW984" t="inlineStr">
        <is>
          <t>991004254539702656</t>
        </is>
      </c>
      <c r="AX984" t="inlineStr">
        <is>
          <t>991004254539702656</t>
        </is>
      </c>
      <c r="AY984" t="inlineStr">
        <is>
          <t>2267790540002656</t>
        </is>
      </c>
      <c r="AZ984" t="inlineStr">
        <is>
          <t>BOOK</t>
        </is>
      </c>
      <c r="BB984" t="inlineStr">
        <is>
          <t>9780879332730</t>
        </is>
      </c>
      <c r="BC984" t="inlineStr">
        <is>
          <t>32285001620482</t>
        </is>
      </c>
      <c r="BD984" t="inlineStr">
        <is>
          <t>893775814</t>
        </is>
      </c>
    </row>
    <row r="985">
      <c r="A985" t="inlineStr">
        <is>
          <t>No</t>
        </is>
      </c>
      <c r="B985" t="inlineStr">
        <is>
          <t>BF717 .N4</t>
        </is>
      </c>
      <c r="C985" t="inlineStr">
        <is>
          <t>0                      BF 0717000N  4</t>
        </is>
      </c>
      <c r="D985" t="inlineStr">
        <is>
          <t>In praise of play; toward a psychology of religion, by Robert E. Neale.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K985" t="inlineStr">
        <is>
          <t>Neale, Robert E., 1929-</t>
        </is>
      </c>
      <c r="L985" t="inlineStr">
        <is>
          <t>New York, Harper &amp; Row [1969]</t>
        </is>
      </c>
      <c r="M985" t="inlineStr">
        <is>
          <t>1969</t>
        </is>
      </c>
      <c r="N985" t="inlineStr">
        <is>
          <t>[1st ed.]</t>
        </is>
      </c>
      <c r="O985" t="inlineStr">
        <is>
          <t>eng</t>
        </is>
      </c>
      <c r="P985" t="inlineStr">
        <is>
          <t>nyu</t>
        </is>
      </c>
      <c r="R985" t="inlineStr">
        <is>
          <t xml:space="preserve">BF </t>
        </is>
      </c>
      <c r="S985" t="n">
        <v>2</v>
      </c>
      <c r="T985" t="n">
        <v>2</v>
      </c>
      <c r="U985" t="inlineStr">
        <is>
          <t>2009-03-31</t>
        </is>
      </c>
      <c r="V985" t="inlineStr">
        <is>
          <t>2009-03-31</t>
        </is>
      </c>
      <c r="W985" t="inlineStr">
        <is>
          <t>1996-08-05</t>
        </is>
      </c>
      <c r="X985" t="inlineStr">
        <is>
          <t>1996-08-05</t>
        </is>
      </c>
      <c r="Y985" t="n">
        <v>548</v>
      </c>
      <c r="Z985" t="n">
        <v>493</v>
      </c>
      <c r="AA985" t="n">
        <v>494</v>
      </c>
      <c r="AB985" t="n">
        <v>6</v>
      </c>
      <c r="AC985" t="n">
        <v>6</v>
      </c>
      <c r="AD985" t="n">
        <v>31</v>
      </c>
      <c r="AE985" t="n">
        <v>31</v>
      </c>
      <c r="AF985" t="n">
        <v>8</v>
      </c>
      <c r="AG985" t="n">
        <v>8</v>
      </c>
      <c r="AH985" t="n">
        <v>9</v>
      </c>
      <c r="AI985" t="n">
        <v>9</v>
      </c>
      <c r="AJ985" t="n">
        <v>20</v>
      </c>
      <c r="AK985" t="n">
        <v>20</v>
      </c>
      <c r="AL985" t="n">
        <v>4</v>
      </c>
      <c r="AM985" t="n">
        <v>4</v>
      </c>
      <c r="AN985" t="n">
        <v>0</v>
      </c>
      <c r="AO985" t="n">
        <v>0</v>
      </c>
      <c r="AP985" t="inlineStr">
        <is>
          <t>No</t>
        </is>
      </c>
      <c r="AQ985" t="inlineStr">
        <is>
          <t>No</t>
        </is>
      </c>
      <c r="AS985">
        <f>HYPERLINK("https://creighton-primo.hosted.exlibrisgroup.com/primo-explore/search?tab=default_tab&amp;search_scope=EVERYTHING&amp;vid=01CRU&amp;lang=en_US&amp;offset=0&amp;query=any,contains,991000085419702656","Catalog Record")</f>
        <v/>
      </c>
      <c r="AT985">
        <f>HYPERLINK("http://www.worldcat.org/oclc/33552","WorldCat Record")</f>
        <v/>
      </c>
      <c r="AU985" t="inlineStr">
        <is>
          <t>181166625:eng</t>
        </is>
      </c>
      <c r="AV985" t="inlineStr">
        <is>
          <t>33552</t>
        </is>
      </c>
      <c r="AW985" t="inlineStr">
        <is>
          <t>991000085419702656</t>
        </is>
      </c>
      <c r="AX985" t="inlineStr">
        <is>
          <t>991000085419702656</t>
        </is>
      </c>
      <c r="AY985" t="inlineStr">
        <is>
          <t>2261358360002656</t>
        </is>
      </c>
      <c r="AZ985" t="inlineStr">
        <is>
          <t>BOOK</t>
        </is>
      </c>
      <c r="BC985" t="inlineStr">
        <is>
          <t>32285002254927</t>
        </is>
      </c>
      <c r="BD985" t="inlineStr">
        <is>
          <t>893896602</t>
        </is>
      </c>
    </row>
    <row r="986">
      <c r="A986" t="inlineStr">
        <is>
          <t>No</t>
        </is>
      </c>
      <c r="B986" t="inlineStr">
        <is>
          <t>BF717 .P576 1984</t>
        </is>
      </c>
      <c r="C986" t="inlineStr">
        <is>
          <t>0                      BF 0717000P  576         1984</t>
        </is>
      </c>
      <c r="D986" t="inlineStr">
        <is>
          <t>Play in animals and humans / edited by Peter K. Smith.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L986" t="inlineStr">
        <is>
          <t>Oxford, England : New York, NY, USA : B. Blackwell, 1984.</t>
        </is>
      </c>
      <c r="M986" t="inlineStr">
        <is>
          <t>1984</t>
        </is>
      </c>
      <c r="O986" t="inlineStr">
        <is>
          <t>eng</t>
        </is>
      </c>
      <c r="P986" t="inlineStr">
        <is>
          <t>enk</t>
        </is>
      </c>
      <c r="R986" t="inlineStr">
        <is>
          <t xml:space="preserve">BF </t>
        </is>
      </c>
      <c r="S986" t="n">
        <v>7</v>
      </c>
      <c r="T986" t="n">
        <v>7</v>
      </c>
      <c r="U986" t="inlineStr">
        <is>
          <t>2002-03-24</t>
        </is>
      </c>
      <c r="V986" t="inlineStr">
        <is>
          <t>2002-03-24</t>
        </is>
      </c>
      <c r="W986" t="inlineStr">
        <is>
          <t>1993-04-06</t>
        </is>
      </c>
      <c r="X986" t="inlineStr">
        <is>
          <t>1993-04-06</t>
        </is>
      </c>
      <c r="Y986" t="n">
        <v>634</v>
      </c>
      <c r="Z986" t="n">
        <v>466</v>
      </c>
      <c r="AA986" t="n">
        <v>482</v>
      </c>
      <c r="AB986" t="n">
        <v>5</v>
      </c>
      <c r="AC986" t="n">
        <v>5</v>
      </c>
      <c r="AD986" t="n">
        <v>22</v>
      </c>
      <c r="AE986" t="n">
        <v>22</v>
      </c>
      <c r="AF986" t="n">
        <v>7</v>
      </c>
      <c r="AG986" t="n">
        <v>7</v>
      </c>
      <c r="AH986" t="n">
        <v>6</v>
      </c>
      <c r="AI986" t="n">
        <v>6</v>
      </c>
      <c r="AJ986" t="n">
        <v>11</v>
      </c>
      <c r="AK986" t="n">
        <v>11</v>
      </c>
      <c r="AL986" t="n">
        <v>4</v>
      </c>
      <c r="AM986" t="n">
        <v>4</v>
      </c>
      <c r="AN986" t="n">
        <v>0</v>
      </c>
      <c r="AO986" t="n">
        <v>0</v>
      </c>
      <c r="AP986" t="inlineStr">
        <is>
          <t>No</t>
        </is>
      </c>
      <c r="AQ986" t="inlineStr">
        <is>
          <t>No</t>
        </is>
      </c>
      <c r="AS986">
        <f>HYPERLINK("https://creighton-primo.hosted.exlibrisgroup.com/primo-explore/search?tab=default_tab&amp;search_scope=EVERYTHING&amp;vid=01CRU&amp;lang=en_US&amp;offset=0&amp;query=any,contains,991000473149702656","Catalog Record")</f>
        <v/>
      </c>
      <c r="AT986">
        <f>HYPERLINK("http://www.worldcat.org/oclc/10998759","WorldCat Record")</f>
        <v/>
      </c>
      <c r="AU986" t="inlineStr">
        <is>
          <t>54658877:eng</t>
        </is>
      </c>
      <c r="AV986" t="inlineStr">
        <is>
          <t>10998759</t>
        </is>
      </c>
      <c r="AW986" t="inlineStr">
        <is>
          <t>991000473149702656</t>
        </is>
      </c>
      <c r="AX986" t="inlineStr">
        <is>
          <t>991000473149702656</t>
        </is>
      </c>
      <c r="AY986" t="inlineStr">
        <is>
          <t>2261361620002656</t>
        </is>
      </c>
      <c r="AZ986" t="inlineStr">
        <is>
          <t>BOOK</t>
        </is>
      </c>
      <c r="BB986" t="inlineStr">
        <is>
          <t>9780631134923</t>
        </is>
      </c>
      <c r="BC986" t="inlineStr">
        <is>
          <t>32285001602969</t>
        </is>
      </c>
      <c r="BD986" t="inlineStr">
        <is>
          <t>893890718</t>
        </is>
      </c>
    </row>
    <row r="987">
      <c r="A987" t="inlineStr">
        <is>
          <t>No</t>
        </is>
      </c>
      <c r="B987" t="inlineStr">
        <is>
          <t>BF717 .S95 1984</t>
        </is>
      </c>
      <c r="C987" t="inlineStr">
        <is>
          <t>0                      BF 0717000S  95          1984</t>
        </is>
      </c>
      <c r="D987" t="inlineStr">
        <is>
          <t>Symbolic play : the development of social understanding / edited by Inge Bretherton.</t>
        </is>
      </c>
      <c r="F987" t="inlineStr">
        <is>
          <t>No</t>
        </is>
      </c>
      <c r="G987" t="inlineStr">
        <is>
          <t>1</t>
        </is>
      </c>
      <c r="H987" t="inlineStr">
        <is>
          <t>Yes</t>
        </is>
      </c>
      <c r="I987" t="inlineStr">
        <is>
          <t>No</t>
        </is>
      </c>
      <c r="J987" t="inlineStr">
        <is>
          <t>0</t>
        </is>
      </c>
      <c r="L987" t="inlineStr">
        <is>
          <t>Orlando, Fla. : Academic Press, 1984.</t>
        </is>
      </c>
      <c r="M987" t="inlineStr">
        <is>
          <t>1984</t>
        </is>
      </c>
      <c r="O987" t="inlineStr">
        <is>
          <t>eng</t>
        </is>
      </c>
      <c r="P987" t="inlineStr">
        <is>
          <t>flu</t>
        </is>
      </c>
      <c r="R987" t="inlineStr">
        <is>
          <t xml:space="preserve">BF </t>
        </is>
      </c>
      <c r="S987" t="n">
        <v>4</v>
      </c>
      <c r="T987" t="n">
        <v>4</v>
      </c>
      <c r="U987" t="inlineStr">
        <is>
          <t>2004-10-28</t>
        </is>
      </c>
      <c r="V987" t="inlineStr">
        <is>
          <t>2004-10-28</t>
        </is>
      </c>
      <c r="W987" t="inlineStr">
        <is>
          <t>1993-04-06</t>
        </is>
      </c>
      <c r="X987" t="inlineStr">
        <is>
          <t>1993-04-06</t>
        </is>
      </c>
      <c r="Y987" t="n">
        <v>541</v>
      </c>
      <c r="Z987" t="n">
        <v>397</v>
      </c>
      <c r="AA987" t="n">
        <v>430</v>
      </c>
      <c r="AB987" t="n">
        <v>7</v>
      </c>
      <c r="AC987" t="n">
        <v>7</v>
      </c>
      <c r="AD987" t="n">
        <v>20</v>
      </c>
      <c r="AE987" t="n">
        <v>21</v>
      </c>
      <c r="AF987" t="n">
        <v>4</v>
      </c>
      <c r="AG987" t="n">
        <v>5</v>
      </c>
      <c r="AH987" t="n">
        <v>4</v>
      </c>
      <c r="AI987" t="n">
        <v>4</v>
      </c>
      <c r="AJ987" t="n">
        <v>10</v>
      </c>
      <c r="AK987" t="n">
        <v>10</v>
      </c>
      <c r="AL987" t="n">
        <v>5</v>
      </c>
      <c r="AM987" t="n">
        <v>5</v>
      </c>
      <c r="AN987" t="n">
        <v>0</v>
      </c>
      <c r="AO987" t="n">
        <v>0</v>
      </c>
      <c r="AP987" t="inlineStr">
        <is>
          <t>No</t>
        </is>
      </c>
      <c r="AQ987" t="inlineStr">
        <is>
          <t>Yes</t>
        </is>
      </c>
      <c r="AR987">
        <f>HYPERLINK("http://catalog.hathitrust.org/Record/000321557","HathiTrust Record")</f>
        <v/>
      </c>
      <c r="AS987">
        <f>HYPERLINK("https://creighton-primo.hosted.exlibrisgroup.com/primo-explore/search?tab=default_tab&amp;search_scope=EVERYTHING&amp;vid=01CRU&amp;lang=en_US&amp;offset=0&amp;query=any,contains,991000231589702656","Catalog Record")</f>
        <v/>
      </c>
      <c r="AT987">
        <f>HYPERLINK("http://www.worldcat.org/oclc/9644144","WorldCat Record")</f>
        <v/>
      </c>
      <c r="AU987" t="inlineStr">
        <is>
          <t>836621835:eng</t>
        </is>
      </c>
      <c r="AV987" t="inlineStr">
        <is>
          <t>9644144</t>
        </is>
      </c>
      <c r="AW987" t="inlineStr">
        <is>
          <t>991000231589702656</t>
        </is>
      </c>
      <c r="AX987" t="inlineStr">
        <is>
          <t>991000231589702656</t>
        </is>
      </c>
      <c r="AY987" t="inlineStr">
        <is>
          <t>2267532590002656</t>
        </is>
      </c>
      <c r="AZ987" t="inlineStr">
        <is>
          <t>BOOK</t>
        </is>
      </c>
      <c r="BB987" t="inlineStr">
        <is>
          <t>9780121326807</t>
        </is>
      </c>
      <c r="BC987" t="inlineStr">
        <is>
          <t>32285001602977</t>
        </is>
      </c>
      <c r="BD987" t="inlineStr">
        <is>
          <t>893620320</t>
        </is>
      </c>
    </row>
    <row r="988">
      <c r="A988" t="inlineStr">
        <is>
          <t>No</t>
        </is>
      </c>
      <c r="B988" t="inlineStr">
        <is>
          <t>BF719 .I52 1982</t>
        </is>
      </c>
      <c r="C988" t="inlineStr">
        <is>
          <t>0                      BF 0719000I  52          1982</t>
        </is>
      </c>
      <c r="D988" t="inlineStr">
        <is>
          <t>In the beginning : readings on infancy / edited by Jay Belsky.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L988" t="inlineStr">
        <is>
          <t>New York : Columbia University Press, 1982.</t>
        </is>
      </c>
      <c r="M988" t="inlineStr">
        <is>
          <t>1982</t>
        </is>
      </c>
      <c r="O988" t="inlineStr">
        <is>
          <t>eng</t>
        </is>
      </c>
      <c r="P988" t="inlineStr">
        <is>
          <t>nyu</t>
        </is>
      </c>
      <c r="R988" t="inlineStr">
        <is>
          <t xml:space="preserve">BF </t>
        </is>
      </c>
      <c r="S988" t="n">
        <v>3</v>
      </c>
      <c r="T988" t="n">
        <v>3</v>
      </c>
      <c r="U988" t="inlineStr">
        <is>
          <t>2000-08-28</t>
        </is>
      </c>
      <c r="V988" t="inlineStr">
        <is>
          <t>2000-08-28</t>
        </is>
      </c>
      <c r="W988" t="inlineStr">
        <is>
          <t>1992-11-17</t>
        </is>
      </c>
      <c r="X988" t="inlineStr">
        <is>
          <t>1992-11-17</t>
        </is>
      </c>
      <c r="Y988" t="n">
        <v>259</v>
      </c>
      <c r="Z988" t="n">
        <v>210</v>
      </c>
      <c r="AA988" t="n">
        <v>221</v>
      </c>
      <c r="AB988" t="n">
        <v>2</v>
      </c>
      <c r="AC988" t="n">
        <v>2</v>
      </c>
      <c r="AD988" t="n">
        <v>7</v>
      </c>
      <c r="AE988" t="n">
        <v>7</v>
      </c>
      <c r="AF988" t="n">
        <v>1</v>
      </c>
      <c r="AG988" t="n">
        <v>1</v>
      </c>
      <c r="AH988" t="n">
        <v>2</v>
      </c>
      <c r="AI988" t="n">
        <v>2</v>
      </c>
      <c r="AJ988" t="n">
        <v>4</v>
      </c>
      <c r="AK988" t="n">
        <v>4</v>
      </c>
      <c r="AL988" t="n">
        <v>1</v>
      </c>
      <c r="AM988" t="n">
        <v>1</v>
      </c>
      <c r="AN988" t="n">
        <v>0</v>
      </c>
      <c r="AO988" t="n">
        <v>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HYPERLINK("https://creighton-primo.hosted.exlibrisgroup.com/primo-explore/search?tab=default_tab&amp;search_scope=EVERYTHING&amp;vid=01CRU&amp;lang=en_US&amp;offset=0&amp;query=any,contains,991005136899702656","Catalog Record")</f>
        <v/>
      </c>
      <c r="AT988">
        <f>HYPERLINK("http://www.worldcat.org/oclc/7577987","WorldCat Record")</f>
        <v/>
      </c>
      <c r="AU988" t="inlineStr">
        <is>
          <t>856454181:eng</t>
        </is>
      </c>
      <c r="AV988" t="inlineStr">
        <is>
          <t>7577987</t>
        </is>
      </c>
      <c r="AW988" t="inlineStr">
        <is>
          <t>991005136899702656</t>
        </is>
      </c>
      <c r="AX988" t="inlineStr">
        <is>
          <t>991005136899702656</t>
        </is>
      </c>
      <c r="AY988" t="inlineStr">
        <is>
          <t>2264662880002656</t>
        </is>
      </c>
      <c r="AZ988" t="inlineStr">
        <is>
          <t>BOOK</t>
        </is>
      </c>
      <c r="BB988" t="inlineStr">
        <is>
          <t>9780231051149</t>
        </is>
      </c>
      <c r="BC988" t="inlineStr">
        <is>
          <t>32285001406122</t>
        </is>
      </c>
      <c r="BD988" t="inlineStr">
        <is>
          <t>893248425</t>
        </is>
      </c>
    </row>
    <row r="989">
      <c r="A989" t="inlineStr">
        <is>
          <t>No</t>
        </is>
      </c>
      <c r="B989" t="inlineStr">
        <is>
          <t>BF719 .K53 1985</t>
        </is>
      </c>
      <c r="C989" t="inlineStr">
        <is>
          <t>0                      BF 0719000K  53          1985</t>
        </is>
      </c>
      <c r="D989" t="inlineStr">
        <is>
          <t>The amazing newborn / Marshall H. Klaus, Phyllis H. Klaus.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Klaus, Marshall H., 1927-2017.</t>
        </is>
      </c>
      <c r="L989" t="inlineStr">
        <is>
          <t>Reading, Mass. : Addison-Wesley Pub. Co., c1985, 1988 printing.</t>
        </is>
      </c>
      <c r="M989" t="inlineStr">
        <is>
          <t>1985</t>
        </is>
      </c>
      <c r="O989" t="inlineStr">
        <is>
          <t>eng</t>
        </is>
      </c>
      <c r="P989" t="inlineStr">
        <is>
          <t>mau</t>
        </is>
      </c>
      <c r="R989" t="inlineStr">
        <is>
          <t xml:space="preserve">BF </t>
        </is>
      </c>
      <c r="S989" t="n">
        <v>11</v>
      </c>
      <c r="T989" t="n">
        <v>11</v>
      </c>
      <c r="U989" t="inlineStr">
        <is>
          <t>2000-08-28</t>
        </is>
      </c>
      <c r="V989" t="inlineStr">
        <is>
          <t>2000-08-28</t>
        </is>
      </c>
      <c r="W989" t="inlineStr">
        <is>
          <t>1989-10-23</t>
        </is>
      </c>
      <c r="X989" t="inlineStr">
        <is>
          <t>1989-10-23</t>
        </is>
      </c>
      <c r="Y989" t="n">
        <v>492</v>
      </c>
      <c r="Z989" t="n">
        <v>443</v>
      </c>
      <c r="AA989" t="n">
        <v>449</v>
      </c>
      <c r="AB989" t="n">
        <v>2</v>
      </c>
      <c r="AC989" t="n">
        <v>2</v>
      </c>
      <c r="AD989" t="n">
        <v>8</v>
      </c>
      <c r="AE989" t="n">
        <v>8</v>
      </c>
      <c r="AF989" t="n">
        <v>4</v>
      </c>
      <c r="AG989" t="n">
        <v>4</v>
      </c>
      <c r="AH989" t="n">
        <v>0</v>
      </c>
      <c r="AI989" t="n">
        <v>0</v>
      </c>
      <c r="AJ989" t="n">
        <v>3</v>
      </c>
      <c r="AK989" t="n">
        <v>3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No</t>
        </is>
      </c>
      <c r="AS989">
        <f>HYPERLINK("https://creighton-primo.hosted.exlibrisgroup.com/primo-explore/search?tab=default_tab&amp;search_scope=EVERYTHING&amp;vid=01CRU&amp;lang=en_US&amp;offset=0&amp;query=any,contains,991000626029702656","Catalog Record")</f>
        <v/>
      </c>
      <c r="AT989">
        <f>HYPERLINK("http://www.worldcat.org/oclc/12022484","WorldCat Record")</f>
        <v/>
      </c>
      <c r="AU989" t="inlineStr">
        <is>
          <t>104135833:eng</t>
        </is>
      </c>
      <c r="AV989" t="inlineStr">
        <is>
          <t>12022484</t>
        </is>
      </c>
      <c r="AW989" t="inlineStr">
        <is>
          <t>991000626029702656</t>
        </is>
      </c>
      <c r="AX989" t="inlineStr">
        <is>
          <t>991000626029702656</t>
        </is>
      </c>
      <c r="AY989" t="inlineStr">
        <is>
          <t>2271917700002656</t>
        </is>
      </c>
      <c r="AZ989" t="inlineStr">
        <is>
          <t>BOOK</t>
        </is>
      </c>
      <c r="BB989" t="inlineStr">
        <is>
          <t>9780201116724</t>
        </is>
      </c>
      <c r="BC989" t="inlineStr">
        <is>
          <t>32285000001742</t>
        </is>
      </c>
      <c r="BD989" t="inlineStr">
        <is>
          <t>893508957</t>
        </is>
      </c>
    </row>
    <row r="990">
      <c r="A990" t="inlineStr">
        <is>
          <t>No</t>
        </is>
      </c>
      <c r="B990" t="inlineStr">
        <is>
          <t>BF719 .M32 1980</t>
        </is>
      </c>
      <c r="C990" t="inlineStr">
        <is>
          <t>0                      BF 0719000M  32          1980</t>
        </is>
      </c>
      <c r="D990" t="inlineStr">
        <is>
          <t>Infants / Robert B. McCall.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McCall, Robert B., 1940-</t>
        </is>
      </c>
      <c r="L990" t="inlineStr">
        <is>
          <t>New York : Vintage Books, 1980, c1979.</t>
        </is>
      </c>
      <c r="M990" t="inlineStr">
        <is>
          <t>1980</t>
        </is>
      </c>
      <c r="N990" t="inlineStr">
        <is>
          <t>1st Vintage Books ed.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BF </t>
        </is>
      </c>
      <c r="S990" t="n">
        <v>12</v>
      </c>
      <c r="T990" t="n">
        <v>12</v>
      </c>
      <c r="U990" t="inlineStr">
        <is>
          <t>2004-03-01</t>
        </is>
      </c>
      <c r="V990" t="inlineStr">
        <is>
          <t>2004-03-01</t>
        </is>
      </c>
      <c r="W990" t="inlineStr">
        <is>
          <t>1992-02-25</t>
        </is>
      </c>
      <c r="X990" t="inlineStr">
        <is>
          <t>1992-02-25</t>
        </is>
      </c>
      <c r="Y990" t="n">
        <v>92</v>
      </c>
      <c r="Z990" t="n">
        <v>82</v>
      </c>
      <c r="AA990" t="n">
        <v>594</v>
      </c>
      <c r="AB990" t="n">
        <v>2</v>
      </c>
      <c r="AC990" t="n">
        <v>5</v>
      </c>
      <c r="AD990" t="n">
        <v>3</v>
      </c>
      <c r="AE990" t="n">
        <v>19</v>
      </c>
      <c r="AF990" t="n">
        <v>0</v>
      </c>
      <c r="AG990" t="n">
        <v>6</v>
      </c>
      <c r="AH990" t="n">
        <v>0</v>
      </c>
      <c r="AI990" t="n">
        <v>3</v>
      </c>
      <c r="AJ990" t="n">
        <v>2</v>
      </c>
      <c r="AK990" t="n">
        <v>11</v>
      </c>
      <c r="AL990" t="n">
        <v>1</v>
      </c>
      <c r="AM990" t="n">
        <v>3</v>
      </c>
      <c r="AN990" t="n">
        <v>0</v>
      </c>
      <c r="AO990" t="n">
        <v>0</v>
      </c>
      <c r="AP990" t="inlineStr">
        <is>
          <t>No</t>
        </is>
      </c>
      <c r="AQ990" t="inlineStr">
        <is>
          <t>No</t>
        </is>
      </c>
      <c r="AS990">
        <f>HYPERLINK("https://creighton-primo.hosted.exlibrisgroup.com/primo-explore/search?tab=default_tab&amp;search_scope=EVERYTHING&amp;vid=01CRU&amp;lang=en_US&amp;offset=0&amp;query=any,contains,991004920959702656","Catalog Record")</f>
        <v/>
      </c>
      <c r="AT990">
        <f>HYPERLINK("http://www.worldcat.org/oclc/6043043","WorldCat Record")</f>
        <v/>
      </c>
      <c r="AU990" t="inlineStr">
        <is>
          <t>464700:eng</t>
        </is>
      </c>
      <c r="AV990" t="inlineStr">
        <is>
          <t>6043043</t>
        </is>
      </c>
      <c r="AW990" t="inlineStr">
        <is>
          <t>991004920959702656</t>
        </is>
      </c>
      <c r="AX990" t="inlineStr">
        <is>
          <t>991004920959702656</t>
        </is>
      </c>
      <c r="AY990" t="inlineStr">
        <is>
          <t>2255669250002656</t>
        </is>
      </c>
      <c r="AZ990" t="inlineStr">
        <is>
          <t>BOOK</t>
        </is>
      </c>
      <c r="BB990" t="inlineStr">
        <is>
          <t>9780394740171</t>
        </is>
      </c>
      <c r="BC990" t="inlineStr">
        <is>
          <t>32285000982362</t>
        </is>
      </c>
      <c r="BD990" t="inlineStr">
        <is>
          <t>893688357</t>
        </is>
      </c>
    </row>
    <row r="991">
      <c r="A991" t="inlineStr">
        <is>
          <t>No</t>
        </is>
      </c>
      <c r="B991" t="inlineStr">
        <is>
          <t>BF720.C63 I53 1982</t>
        </is>
      </c>
      <c r="C991" t="inlineStr">
        <is>
          <t>0                      BF 0720000C  63                 I  53          1982</t>
        </is>
      </c>
      <c r="D991" t="inlineStr">
        <is>
          <t>Infancy and epistemology : an evaluation of Piaget's theory / edited by George Butterworth.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L991" t="inlineStr">
        <is>
          <t>New York : St. Martin's Press, 1982.</t>
        </is>
      </c>
      <c r="M991" t="inlineStr">
        <is>
          <t>1982</t>
        </is>
      </c>
      <c r="O991" t="inlineStr">
        <is>
          <t>eng</t>
        </is>
      </c>
      <c r="P991" t="inlineStr">
        <is>
          <t>nyu</t>
        </is>
      </c>
      <c r="R991" t="inlineStr">
        <is>
          <t xml:space="preserve">BF </t>
        </is>
      </c>
      <c r="S991" t="n">
        <v>3</v>
      </c>
      <c r="T991" t="n">
        <v>3</v>
      </c>
      <c r="U991" t="inlineStr">
        <is>
          <t>2007-02-11</t>
        </is>
      </c>
      <c r="V991" t="inlineStr">
        <is>
          <t>2007-02-11</t>
        </is>
      </c>
      <c r="W991" t="inlineStr">
        <is>
          <t>1993-04-06</t>
        </is>
      </c>
      <c r="X991" t="inlineStr">
        <is>
          <t>1993-04-06</t>
        </is>
      </c>
      <c r="Y991" t="n">
        <v>266</v>
      </c>
      <c r="Z991" t="n">
        <v>232</v>
      </c>
      <c r="AA991" t="n">
        <v>283</v>
      </c>
      <c r="AB991" t="n">
        <v>2</v>
      </c>
      <c r="AC991" t="n">
        <v>4</v>
      </c>
      <c r="AD991" t="n">
        <v>6</v>
      </c>
      <c r="AE991" t="n">
        <v>9</v>
      </c>
      <c r="AF991" t="n">
        <v>1</v>
      </c>
      <c r="AG991" t="n">
        <v>1</v>
      </c>
      <c r="AH991" t="n">
        <v>2</v>
      </c>
      <c r="AI991" t="n">
        <v>2</v>
      </c>
      <c r="AJ991" t="n">
        <v>3</v>
      </c>
      <c r="AK991" t="n">
        <v>4</v>
      </c>
      <c r="AL991" t="n">
        <v>1</v>
      </c>
      <c r="AM991" t="n">
        <v>3</v>
      </c>
      <c r="AN991" t="n">
        <v>0</v>
      </c>
      <c r="AO991" t="n">
        <v>0</v>
      </c>
      <c r="AP991" t="inlineStr">
        <is>
          <t>No</t>
        </is>
      </c>
      <c r="AQ991" t="inlineStr">
        <is>
          <t>No</t>
        </is>
      </c>
      <c r="AS991">
        <f>HYPERLINK("https://creighton-primo.hosted.exlibrisgroup.com/primo-explore/search?tab=default_tab&amp;search_scope=EVERYTHING&amp;vid=01CRU&amp;lang=en_US&amp;offset=0&amp;query=any,contains,991005186469702656","Catalog Record")</f>
        <v/>
      </c>
      <c r="AT991">
        <f>HYPERLINK("http://www.worldcat.org/oclc/7976522","WorldCat Record")</f>
        <v/>
      </c>
      <c r="AU991" t="inlineStr">
        <is>
          <t>890298128:eng</t>
        </is>
      </c>
      <c r="AV991" t="inlineStr">
        <is>
          <t>7976522</t>
        </is>
      </c>
      <c r="AW991" t="inlineStr">
        <is>
          <t>991005186469702656</t>
        </is>
      </c>
      <c r="AX991" t="inlineStr">
        <is>
          <t>991005186469702656</t>
        </is>
      </c>
      <c r="AY991" t="inlineStr">
        <is>
          <t>2262109830002656</t>
        </is>
      </c>
      <c r="AZ991" t="inlineStr">
        <is>
          <t>BOOK</t>
        </is>
      </c>
      <c r="BB991" t="inlineStr">
        <is>
          <t>9780312415884</t>
        </is>
      </c>
      <c r="BC991" t="inlineStr">
        <is>
          <t>32285001603017</t>
        </is>
      </c>
      <c r="BD991" t="inlineStr">
        <is>
          <t>893326326</t>
        </is>
      </c>
    </row>
    <row r="992">
      <c r="A992" t="inlineStr">
        <is>
          <t>No</t>
        </is>
      </c>
      <c r="B992" t="inlineStr">
        <is>
          <t>BF720.C65 D48 1991</t>
        </is>
      </c>
      <c r="C992" t="inlineStr">
        <is>
          <t>0                      BF 0720000C  65                 D  48          1991</t>
        </is>
      </c>
      <c r="D992" t="inlineStr">
        <is>
          <t>Baby talk : the art of communicating with infants and toddlers / Monica Devine ; with a foreword by Patricia J. Olmstead.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Devine, Monica.</t>
        </is>
      </c>
      <c r="L992" t="inlineStr">
        <is>
          <t>New York : Plenum Press, c1991.</t>
        </is>
      </c>
      <c r="M992" t="inlineStr">
        <is>
          <t>1991</t>
        </is>
      </c>
      <c r="O992" t="inlineStr">
        <is>
          <t>eng</t>
        </is>
      </c>
      <c r="P992" t="inlineStr">
        <is>
          <t>nyu</t>
        </is>
      </c>
      <c r="R992" t="inlineStr">
        <is>
          <t xml:space="preserve">BF </t>
        </is>
      </c>
      <c r="S992" t="n">
        <v>14</v>
      </c>
      <c r="T992" t="n">
        <v>14</v>
      </c>
      <c r="U992" t="inlineStr">
        <is>
          <t>2007-02-11</t>
        </is>
      </c>
      <c r="V992" t="inlineStr">
        <is>
          <t>2007-02-11</t>
        </is>
      </c>
      <c r="W992" t="inlineStr">
        <is>
          <t>1994-10-31</t>
        </is>
      </c>
      <c r="X992" t="inlineStr">
        <is>
          <t>1994-10-31</t>
        </is>
      </c>
      <c r="Y992" t="n">
        <v>385</v>
      </c>
      <c r="Z992" t="n">
        <v>326</v>
      </c>
      <c r="AA992" t="n">
        <v>345</v>
      </c>
      <c r="AB992" t="n">
        <v>3</v>
      </c>
      <c r="AC992" t="n">
        <v>3</v>
      </c>
      <c r="AD992" t="n">
        <v>5</v>
      </c>
      <c r="AE992" t="n">
        <v>5</v>
      </c>
      <c r="AF992" t="n">
        <v>0</v>
      </c>
      <c r="AG992" t="n">
        <v>0</v>
      </c>
      <c r="AH992" t="n">
        <v>0</v>
      </c>
      <c r="AI992" t="n">
        <v>0</v>
      </c>
      <c r="AJ992" t="n">
        <v>3</v>
      </c>
      <c r="AK992" t="n">
        <v>3</v>
      </c>
      <c r="AL992" t="n">
        <v>2</v>
      </c>
      <c r="AM992" t="n">
        <v>2</v>
      </c>
      <c r="AN992" t="n">
        <v>0</v>
      </c>
      <c r="AO992" t="n">
        <v>0</v>
      </c>
      <c r="AP992" t="inlineStr">
        <is>
          <t>No</t>
        </is>
      </c>
      <c r="AQ992" t="inlineStr">
        <is>
          <t>Yes</t>
        </is>
      </c>
      <c r="AR992">
        <f>HYPERLINK("http://catalog.hathitrust.org/Record/010661349","HathiTrust Record")</f>
        <v/>
      </c>
      <c r="AS992">
        <f>HYPERLINK("https://creighton-primo.hosted.exlibrisgroup.com/primo-explore/search?tab=default_tab&amp;search_scope=EVERYTHING&amp;vid=01CRU&amp;lang=en_US&amp;offset=0&amp;query=any,contains,991001831699702656","Catalog Record")</f>
        <v/>
      </c>
      <c r="AT992">
        <f>HYPERLINK("http://www.worldcat.org/oclc/23015539","WorldCat Record")</f>
        <v/>
      </c>
      <c r="AU992" t="inlineStr">
        <is>
          <t>836818534:eng</t>
        </is>
      </c>
      <c r="AV992" t="inlineStr">
        <is>
          <t>23015539</t>
        </is>
      </c>
      <c r="AW992" t="inlineStr">
        <is>
          <t>991001831699702656</t>
        </is>
      </c>
      <c r="AX992" t="inlineStr">
        <is>
          <t>991001831699702656</t>
        </is>
      </c>
      <c r="AY992" t="inlineStr">
        <is>
          <t>2262591360002656</t>
        </is>
      </c>
      <c r="AZ992" t="inlineStr">
        <is>
          <t>BOOK</t>
        </is>
      </c>
      <c r="BB992" t="inlineStr">
        <is>
          <t>9780306437625</t>
        </is>
      </c>
      <c r="BC992" t="inlineStr">
        <is>
          <t>32285001955805</t>
        </is>
      </c>
      <c r="BD992" t="inlineStr">
        <is>
          <t>893791748</t>
        </is>
      </c>
    </row>
    <row r="993">
      <c r="A993" t="inlineStr">
        <is>
          <t>No</t>
        </is>
      </c>
      <c r="B993" t="inlineStr">
        <is>
          <t>BF720.C65 L36</t>
        </is>
      </c>
      <c r="C993" t="inlineStr">
        <is>
          <t>0                      BF 0720000C  65                 L  36</t>
        </is>
      </c>
      <c r="D993" t="inlineStr">
        <is>
          <t>Language behavior in infancy and early childhood : proceedings of a pediatric round table held at the Santa Barbara Biltmore Hotel, Santa Barbara, California, October 10-13, 1979 / editor, Rachel E. Stark ; sponsored by Johnson &amp; Johnson Baby Products Company.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L993" t="inlineStr">
        <is>
          <t>New York : Elsevier ; Amsterdam : sole distributors outside USA and Canada, Elsevier/North Holland Biomedical Press, c1981.</t>
        </is>
      </c>
      <c r="M993" t="inlineStr">
        <is>
          <t>1981</t>
        </is>
      </c>
      <c r="O993" t="inlineStr">
        <is>
          <t>eng</t>
        </is>
      </c>
      <c r="P993" t="inlineStr">
        <is>
          <t>nyu</t>
        </is>
      </c>
      <c r="R993" t="inlineStr">
        <is>
          <t xml:space="preserve">BF </t>
        </is>
      </c>
      <c r="S993" t="n">
        <v>12</v>
      </c>
      <c r="T993" t="n">
        <v>12</v>
      </c>
      <c r="U993" t="inlineStr">
        <is>
          <t>2007-02-11</t>
        </is>
      </c>
      <c r="V993" t="inlineStr">
        <is>
          <t>2007-02-11</t>
        </is>
      </c>
      <c r="W993" t="inlineStr">
        <is>
          <t>1992-02-25</t>
        </is>
      </c>
      <c r="X993" t="inlineStr">
        <is>
          <t>1992-02-25</t>
        </is>
      </c>
      <c r="Y993" t="n">
        <v>290</v>
      </c>
      <c r="Z993" t="n">
        <v>212</v>
      </c>
      <c r="AA993" t="n">
        <v>214</v>
      </c>
      <c r="AB993" t="n">
        <v>3</v>
      </c>
      <c r="AC993" t="n">
        <v>3</v>
      </c>
      <c r="AD993" t="n">
        <v>10</v>
      </c>
      <c r="AE993" t="n">
        <v>10</v>
      </c>
      <c r="AF993" t="n">
        <v>2</v>
      </c>
      <c r="AG993" t="n">
        <v>2</v>
      </c>
      <c r="AH993" t="n">
        <v>3</v>
      </c>
      <c r="AI993" t="n">
        <v>3</v>
      </c>
      <c r="AJ993" t="n">
        <v>7</v>
      </c>
      <c r="AK993" t="n">
        <v>7</v>
      </c>
      <c r="AL993" t="n">
        <v>2</v>
      </c>
      <c r="AM993" t="n">
        <v>2</v>
      </c>
      <c r="AN993" t="n">
        <v>0</v>
      </c>
      <c r="AO993" t="n">
        <v>0</v>
      </c>
      <c r="AP993" t="inlineStr">
        <is>
          <t>No</t>
        </is>
      </c>
      <c r="AQ993" t="inlineStr">
        <is>
          <t>Yes</t>
        </is>
      </c>
      <c r="AR993">
        <f>HYPERLINK("http://catalog.hathitrust.org/Record/000304964","HathiTrust Record")</f>
        <v/>
      </c>
      <c r="AS993">
        <f>HYPERLINK("https://creighton-primo.hosted.exlibrisgroup.com/primo-explore/search?tab=default_tab&amp;search_scope=EVERYTHING&amp;vid=01CRU&amp;lang=en_US&amp;offset=0&amp;query=any,contains,991005126019702656","Catalog Record")</f>
        <v/>
      </c>
      <c r="AT993">
        <f>HYPERLINK("http://www.worldcat.org/oclc/7553606","WorldCat Record")</f>
        <v/>
      </c>
      <c r="AU993" t="inlineStr">
        <is>
          <t>899609445:eng</t>
        </is>
      </c>
      <c r="AV993" t="inlineStr">
        <is>
          <t>7553606</t>
        </is>
      </c>
      <c r="AW993" t="inlineStr">
        <is>
          <t>991005126019702656</t>
        </is>
      </c>
      <c r="AX993" t="inlineStr">
        <is>
          <t>991005126019702656</t>
        </is>
      </c>
      <c r="AY993" t="inlineStr">
        <is>
          <t>2262583080002656</t>
        </is>
      </c>
      <c r="AZ993" t="inlineStr">
        <is>
          <t>BOOK</t>
        </is>
      </c>
      <c r="BB993" t="inlineStr">
        <is>
          <t>9780444006271</t>
        </is>
      </c>
      <c r="BC993" t="inlineStr">
        <is>
          <t>32285000982396</t>
        </is>
      </c>
      <c r="BD993" t="inlineStr">
        <is>
          <t>893707303</t>
        </is>
      </c>
    </row>
    <row r="994">
      <c r="A994" t="inlineStr">
        <is>
          <t>No</t>
        </is>
      </c>
      <c r="B994" t="inlineStr">
        <is>
          <t>BF720.C65 Z5</t>
        </is>
      </c>
      <c r="C994" t="inlineStr">
        <is>
          <t>0                      BF 0720000C  65                 Z  5</t>
        </is>
      </c>
      <c r="D994" t="inlineStr">
        <is>
          <t>Prelinguistic communication in infancy / Alan Ziajka.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Ziajka, Alan.</t>
        </is>
      </c>
      <c r="L994" t="inlineStr">
        <is>
          <t>New York, N.Y. : Praeger Publishers, 1981.</t>
        </is>
      </c>
      <c r="M994" t="inlineStr">
        <is>
          <t>1981</t>
        </is>
      </c>
      <c r="O994" t="inlineStr">
        <is>
          <t>eng</t>
        </is>
      </c>
      <c r="P994" t="inlineStr">
        <is>
          <t>nyu</t>
        </is>
      </c>
      <c r="R994" t="inlineStr">
        <is>
          <t xml:space="preserve">BF </t>
        </is>
      </c>
      <c r="S994" t="n">
        <v>9</v>
      </c>
      <c r="T994" t="n">
        <v>9</v>
      </c>
      <c r="U994" t="inlineStr">
        <is>
          <t>2007-02-11</t>
        </is>
      </c>
      <c r="V994" t="inlineStr">
        <is>
          <t>2007-02-11</t>
        </is>
      </c>
      <c r="W994" t="inlineStr">
        <is>
          <t>1991-11-12</t>
        </is>
      </c>
      <c r="X994" t="inlineStr">
        <is>
          <t>1991-11-12</t>
        </is>
      </c>
      <c r="Y994" t="n">
        <v>302</v>
      </c>
      <c r="Z994" t="n">
        <v>245</v>
      </c>
      <c r="AA994" t="n">
        <v>252</v>
      </c>
      <c r="AB994" t="n">
        <v>3</v>
      </c>
      <c r="AC994" t="n">
        <v>3</v>
      </c>
      <c r="AD994" t="n">
        <v>9</v>
      </c>
      <c r="AE994" t="n">
        <v>9</v>
      </c>
      <c r="AF994" t="n">
        <v>1</v>
      </c>
      <c r="AG994" t="n">
        <v>1</v>
      </c>
      <c r="AH994" t="n">
        <v>1</v>
      </c>
      <c r="AI994" t="n">
        <v>1</v>
      </c>
      <c r="AJ994" t="n">
        <v>6</v>
      </c>
      <c r="AK994" t="n">
        <v>6</v>
      </c>
      <c r="AL994" t="n">
        <v>2</v>
      </c>
      <c r="AM994" t="n">
        <v>2</v>
      </c>
      <c r="AN994" t="n">
        <v>0</v>
      </c>
      <c r="AO994" t="n">
        <v>0</v>
      </c>
      <c r="AP994" t="inlineStr">
        <is>
          <t>No</t>
        </is>
      </c>
      <c r="AQ994" t="inlineStr">
        <is>
          <t>Yes</t>
        </is>
      </c>
      <c r="AR994">
        <f>HYPERLINK("http://catalog.hathitrust.org/Record/000100366","HathiTrust Record")</f>
        <v/>
      </c>
      <c r="AS994">
        <f>HYPERLINK("https://creighton-primo.hosted.exlibrisgroup.com/primo-explore/search?tab=default_tab&amp;search_scope=EVERYTHING&amp;vid=01CRU&amp;lang=en_US&amp;offset=0&amp;query=any,contains,991005087849702656","Catalog Record")</f>
        <v/>
      </c>
      <c r="AT994">
        <f>HYPERLINK("http://www.worldcat.org/oclc/7197657","WorldCat Record")</f>
        <v/>
      </c>
      <c r="AU994" t="inlineStr">
        <is>
          <t>432066:eng</t>
        </is>
      </c>
      <c r="AV994" t="inlineStr">
        <is>
          <t>7197657</t>
        </is>
      </c>
      <c r="AW994" t="inlineStr">
        <is>
          <t>991005087849702656</t>
        </is>
      </c>
      <c r="AX994" t="inlineStr">
        <is>
          <t>991005087849702656</t>
        </is>
      </c>
      <c r="AY994" t="inlineStr">
        <is>
          <t>2256832550002656</t>
        </is>
      </c>
      <c r="AZ994" t="inlineStr">
        <is>
          <t>BOOK</t>
        </is>
      </c>
      <c r="BB994" t="inlineStr">
        <is>
          <t>9780030586491</t>
        </is>
      </c>
      <c r="BC994" t="inlineStr">
        <is>
          <t>32285000822733</t>
        </is>
      </c>
      <c r="BD994" t="inlineStr">
        <is>
          <t>893795584</t>
        </is>
      </c>
    </row>
    <row r="995">
      <c r="A995" t="inlineStr">
        <is>
          <t>No</t>
        </is>
      </c>
      <c r="B995" t="inlineStr">
        <is>
          <t>BF720.M68 I54 1985</t>
        </is>
      </c>
      <c r="C995" t="inlineStr">
        <is>
          <t>0                      BF 0720000M  68                 I  54          1985</t>
        </is>
      </c>
      <c r="D995" t="inlineStr">
        <is>
          <t>Infant-mother attachment : the origins and developmental significance of individual differences in strange situation behavior / by Michael E. Lamb ... [et al.].</t>
        </is>
      </c>
      <c r="F995" t="inlineStr">
        <is>
          <t>No</t>
        </is>
      </c>
      <c r="G995" t="inlineStr">
        <is>
          <t>1</t>
        </is>
      </c>
      <c r="H995" t="inlineStr">
        <is>
          <t>Yes</t>
        </is>
      </c>
      <c r="I995" t="inlineStr">
        <is>
          <t>No</t>
        </is>
      </c>
      <c r="J995" t="inlineStr">
        <is>
          <t>0</t>
        </is>
      </c>
      <c r="L995" t="inlineStr">
        <is>
          <t>Hillsdale, N.J. : LEA, 1985.</t>
        </is>
      </c>
      <c r="M995" t="inlineStr">
        <is>
          <t>1985</t>
        </is>
      </c>
      <c r="O995" t="inlineStr">
        <is>
          <t>eng</t>
        </is>
      </c>
      <c r="P995" t="inlineStr">
        <is>
          <t>nju</t>
        </is>
      </c>
      <c r="R995" t="inlineStr">
        <is>
          <t xml:space="preserve">BF </t>
        </is>
      </c>
      <c r="S995" t="n">
        <v>34</v>
      </c>
      <c r="T995" t="n">
        <v>34</v>
      </c>
      <c r="U995" t="inlineStr">
        <is>
          <t>2002-10-21</t>
        </is>
      </c>
      <c r="V995" t="inlineStr">
        <is>
          <t>2002-10-21</t>
        </is>
      </c>
      <c r="W995" t="inlineStr">
        <is>
          <t>1991-11-12</t>
        </is>
      </c>
      <c r="X995" t="inlineStr">
        <is>
          <t>1991-11-12</t>
        </is>
      </c>
      <c r="Y995" t="n">
        <v>352</v>
      </c>
      <c r="Z995" t="n">
        <v>293</v>
      </c>
      <c r="AA995" t="n">
        <v>318</v>
      </c>
      <c r="AB995" t="n">
        <v>4</v>
      </c>
      <c r="AC995" t="n">
        <v>4</v>
      </c>
      <c r="AD995" t="n">
        <v>10</v>
      </c>
      <c r="AE995" t="n">
        <v>10</v>
      </c>
      <c r="AF995" t="n">
        <v>1</v>
      </c>
      <c r="AG995" t="n">
        <v>1</v>
      </c>
      <c r="AH995" t="n">
        <v>5</v>
      </c>
      <c r="AI995" t="n">
        <v>5</v>
      </c>
      <c r="AJ995" t="n">
        <v>5</v>
      </c>
      <c r="AK995" t="n">
        <v>5</v>
      </c>
      <c r="AL995" t="n">
        <v>2</v>
      </c>
      <c r="AM995" t="n">
        <v>2</v>
      </c>
      <c r="AN995" t="n">
        <v>0</v>
      </c>
      <c r="AO995" t="n">
        <v>0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HYPERLINK("http://catalog.hathitrust.org/Record/000653317","HathiTrust Record")</f>
        <v/>
      </c>
      <c r="AS995">
        <f>HYPERLINK("https://creighton-primo.hosted.exlibrisgroup.com/primo-explore/search?tab=default_tab&amp;search_scope=EVERYTHING&amp;vid=01CRU&amp;lang=en_US&amp;offset=0&amp;query=any,contains,991000634719702656","Catalog Record")</f>
        <v/>
      </c>
      <c r="AT995">
        <f>HYPERLINK("http://www.worldcat.org/oclc/12079849","WorldCat Record")</f>
        <v/>
      </c>
      <c r="AU995" t="inlineStr">
        <is>
          <t>889345449:eng</t>
        </is>
      </c>
      <c r="AV995" t="inlineStr">
        <is>
          <t>12079849</t>
        </is>
      </c>
      <c r="AW995" t="inlineStr">
        <is>
          <t>991000634719702656</t>
        </is>
      </c>
      <c r="AX995" t="inlineStr">
        <is>
          <t>991000634719702656</t>
        </is>
      </c>
      <c r="AY995" t="inlineStr">
        <is>
          <t>2269454830002656</t>
        </is>
      </c>
      <c r="AZ995" t="inlineStr">
        <is>
          <t>BOOK</t>
        </is>
      </c>
      <c r="BB995" t="inlineStr">
        <is>
          <t>9780898596540</t>
        </is>
      </c>
      <c r="BC995" t="inlineStr">
        <is>
          <t>32285000822725</t>
        </is>
      </c>
      <c r="BD995" t="inlineStr">
        <is>
          <t>893778088</t>
        </is>
      </c>
    </row>
    <row r="996">
      <c r="A996" t="inlineStr">
        <is>
          <t>No</t>
        </is>
      </c>
      <c r="B996" t="inlineStr">
        <is>
          <t>BF720.M68 M38 1989</t>
        </is>
      </c>
      <c r="C996" t="inlineStr">
        <is>
          <t>0                      BF 0720000M  68                 M  38          1989</t>
        </is>
      </c>
      <c r="D996" t="inlineStr">
        <is>
          <t>Maternal responsiveness : characteristics and consequences / Marc H. Bornstein, editor.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L996" t="inlineStr">
        <is>
          <t>San Francisco ; London : Jossey-Bass, c1989.</t>
        </is>
      </c>
      <c r="M996" t="inlineStr">
        <is>
          <t>1989</t>
        </is>
      </c>
      <c r="O996" t="inlineStr">
        <is>
          <t>eng</t>
        </is>
      </c>
      <c r="P996" t="inlineStr">
        <is>
          <t>cau</t>
        </is>
      </c>
      <c r="Q996" t="inlineStr">
        <is>
          <t>New directions for child development, 0195-2269 ; no. 43</t>
        </is>
      </c>
      <c r="R996" t="inlineStr">
        <is>
          <t xml:space="preserve">BF </t>
        </is>
      </c>
      <c r="S996" t="n">
        <v>11</v>
      </c>
      <c r="T996" t="n">
        <v>11</v>
      </c>
      <c r="U996" t="inlineStr">
        <is>
          <t>2002-10-21</t>
        </is>
      </c>
      <c r="V996" t="inlineStr">
        <is>
          <t>2002-10-21</t>
        </is>
      </c>
      <c r="W996" t="inlineStr">
        <is>
          <t>1990-06-22</t>
        </is>
      </c>
      <c r="X996" t="inlineStr">
        <is>
          <t>1990-06-22</t>
        </is>
      </c>
      <c r="Y996" t="n">
        <v>280</v>
      </c>
      <c r="Z996" t="n">
        <v>222</v>
      </c>
      <c r="AA996" t="n">
        <v>227</v>
      </c>
      <c r="AB996" t="n">
        <v>2</v>
      </c>
      <c r="AC996" t="n">
        <v>2</v>
      </c>
      <c r="AD996" t="n">
        <v>12</v>
      </c>
      <c r="AE996" t="n">
        <v>12</v>
      </c>
      <c r="AF996" t="n">
        <v>4</v>
      </c>
      <c r="AG996" t="n">
        <v>4</v>
      </c>
      <c r="AH996" t="n">
        <v>3</v>
      </c>
      <c r="AI996" t="n">
        <v>3</v>
      </c>
      <c r="AJ996" t="n">
        <v>7</v>
      </c>
      <c r="AK996" t="n">
        <v>7</v>
      </c>
      <c r="AL996" t="n">
        <v>1</v>
      </c>
      <c r="AM996" t="n">
        <v>1</v>
      </c>
      <c r="AN996" t="n">
        <v>0</v>
      </c>
      <c r="AO996" t="n">
        <v>0</v>
      </c>
      <c r="AP996" t="inlineStr">
        <is>
          <t>No</t>
        </is>
      </c>
      <c r="AQ996" t="inlineStr">
        <is>
          <t>Yes</t>
        </is>
      </c>
      <c r="AR996">
        <f>HYPERLINK("http://catalog.hathitrust.org/Record/001545429","HathiTrust Record")</f>
        <v/>
      </c>
      <c r="AS996">
        <f>HYPERLINK("https://creighton-primo.hosted.exlibrisgroup.com/primo-explore/search?tab=default_tab&amp;search_scope=EVERYTHING&amp;vid=01CRU&amp;lang=en_US&amp;offset=0&amp;query=any,contains,991001464499702656","Catalog Record")</f>
        <v/>
      </c>
      <c r="AT996">
        <f>HYPERLINK("http://www.worldcat.org/oclc/19482523","WorldCat Record")</f>
        <v/>
      </c>
      <c r="AU996" t="inlineStr">
        <is>
          <t>890080478:eng</t>
        </is>
      </c>
      <c r="AV996" t="inlineStr">
        <is>
          <t>19482523</t>
        </is>
      </c>
      <c r="AW996" t="inlineStr">
        <is>
          <t>991001464499702656</t>
        </is>
      </c>
      <c r="AX996" t="inlineStr">
        <is>
          <t>991001464499702656</t>
        </is>
      </c>
      <c r="AY996" t="inlineStr">
        <is>
          <t>2262282140002656</t>
        </is>
      </c>
      <c r="AZ996" t="inlineStr">
        <is>
          <t>BOOK</t>
        </is>
      </c>
      <c r="BB996" t="inlineStr">
        <is>
          <t>9781555428648</t>
        </is>
      </c>
      <c r="BC996" t="inlineStr">
        <is>
          <t>32285000179662</t>
        </is>
      </c>
      <c r="BD996" t="inlineStr">
        <is>
          <t>893785118</t>
        </is>
      </c>
    </row>
    <row r="997">
      <c r="A997" t="inlineStr">
        <is>
          <t>No</t>
        </is>
      </c>
      <c r="B997" t="inlineStr">
        <is>
          <t>BF720.P37 N48 1981</t>
        </is>
      </c>
      <c r="C997" t="inlineStr">
        <is>
          <t>0                      BF 0720000P  37                 N  48          1981</t>
        </is>
      </c>
      <c r="D997" t="inlineStr">
        <is>
          <t>Newborns and parents : parent-infant contact and newborn sensory stimulation / edited by Vincent L. Smeriglio.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L997" t="inlineStr">
        <is>
          <t>Hillsdale, N.J. : L. Erlbaum Associates, 1981.</t>
        </is>
      </c>
      <c r="M997" t="inlineStr">
        <is>
          <t>1981</t>
        </is>
      </c>
      <c r="O997" t="inlineStr">
        <is>
          <t>eng</t>
        </is>
      </c>
      <c r="P997" t="inlineStr">
        <is>
          <t>nju</t>
        </is>
      </c>
      <c r="R997" t="inlineStr">
        <is>
          <t xml:space="preserve">BF </t>
        </is>
      </c>
      <c r="S997" t="n">
        <v>10</v>
      </c>
      <c r="T997" t="n">
        <v>10</v>
      </c>
      <c r="U997" t="inlineStr">
        <is>
          <t>2002-10-21</t>
        </is>
      </c>
      <c r="V997" t="inlineStr">
        <is>
          <t>2002-10-21</t>
        </is>
      </c>
      <c r="W997" t="inlineStr">
        <is>
          <t>1992-02-06</t>
        </is>
      </c>
      <c r="X997" t="inlineStr">
        <is>
          <t>1992-02-06</t>
        </is>
      </c>
      <c r="Y997" t="n">
        <v>362</v>
      </c>
      <c r="Z997" t="n">
        <v>285</v>
      </c>
      <c r="AA997" t="n">
        <v>292</v>
      </c>
      <c r="AB997" t="n">
        <v>3</v>
      </c>
      <c r="AC997" t="n">
        <v>3</v>
      </c>
      <c r="AD997" t="n">
        <v>11</v>
      </c>
      <c r="AE997" t="n">
        <v>11</v>
      </c>
      <c r="AF997" t="n">
        <v>4</v>
      </c>
      <c r="AG997" t="n">
        <v>4</v>
      </c>
      <c r="AH997" t="n">
        <v>2</v>
      </c>
      <c r="AI997" t="n">
        <v>2</v>
      </c>
      <c r="AJ997" t="n">
        <v>8</v>
      </c>
      <c r="AK997" t="n">
        <v>8</v>
      </c>
      <c r="AL997" t="n">
        <v>2</v>
      </c>
      <c r="AM997" t="n">
        <v>2</v>
      </c>
      <c r="AN997" t="n">
        <v>0</v>
      </c>
      <c r="AO997" t="n">
        <v>0</v>
      </c>
      <c r="AP997" t="inlineStr">
        <is>
          <t>No</t>
        </is>
      </c>
      <c r="AQ997" t="inlineStr">
        <is>
          <t>Yes</t>
        </is>
      </c>
      <c r="AR997">
        <f>HYPERLINK("http://catalog.hathitrust.org/Record/000127950","HathiTrust Record")</f>
        <v/>
      </c>
      <c r="AS997">
        <f>HYPERLINK("https://creighton-primo.hosted.exlibrisgroup.com/primo-explore/search?tab=default_tab&amp;search_scope=EVERYTHING&amp;vid=01CRU&amp;lang=en_US&amp;offset=0&amp;query=any,contains,991005083379702656","Catalog Record")</f>
        <v/>
      </c>
      <c r="AT997">
        <f>HYPERLINK("http://www.worldcat.org/oclc/7176139","WorldCat Record")</f>
        <v/>
      </c>
      <c r="AU997" t="inlineStr">
        <is>
          <t>863913288:eng</t>
        </is>
      </c>
      <c r="AV997" t="inlineStr">
        <is>
          <t>7176139</t>
        </is>
      </c>
      <c r="AW997" t="inlineStr">
        <is>
          <t>991005083379702656</t>
        </is>
      </c>
      <c r="AX997" t="inlineStr">
        <is>
          <t>991005083379702656</t>
        </is>
      </c>
      <c r="AY997" t="inlineStr">
        <is>
          <t>2272733330002656</t>
        </is>
      </c>
      <c r="AZ997" t="inlineStr">
        <is>
          <t>BOOK</t>
        </is>
      </c>
      <c r="BB997" t="inlineStr">
        <is>
          <t>9780898590418</t>
        </is>
      </c>
      <c r="BC997" t="inlineStr">
        <is>
          <t>32285000943216</t>
        </is>
      </c>
      <c r="BD997" t="inlineStr">
        <is>
          <t>893807797</t>
        </is>
      </c>
    </row>
    <row r="998">
      <c r="A998" t="inlineStr">
        <is>
          <t>No</t>
        </is>
      </c>
      <c r="B998" t="inlineStr">
        <is>
          <t>BF720.S63 B76</t>
        </is>
      </c>
      <c r="C998" t="inlineStr">
        <is>
          <t>0                      BF 0720000S  63                 B  76</t>
        </is>
      </c>
      <c r="D998" t="inlineStr">
        <is>
          <t>Toddlers' behaviors with agemates : issues of interaction, cognition, and affect / by Wanda C. Bronson.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K998" t="inlineStr">
        <is>
          <t>Bronson, Wanda C.</t>
        </is>
      </c>
      <c r="L998" t="inlineStr">
        <is>
          <t>Norwood, N.J. : Ablex Pub. Corp., c1981.</t>
        </is>
      </c>
      <c r="M998" t="inlineStr">
        <is>
          <t>1981</t>
        </is>
      </c>
      <c r="O998" t="inlineStr">
        <is>
          <t>eng</t>
        </is>
      </c>
      <c r="P998" t="inlineStr">
        <is>
          <t>nju</t>
        </is>
      </c>
      <c r="Q998" t="inlineStr">
        <is>
          <t>Monographs on infancy</t>
        </is>
      </c>
      <c r="R998" t="inlineStr">
        <is>
          <t xml:space="preserve">BF </t>
        </is>
      </c>
      <c r="S998" t="n">
        <v>2</v>
      </c>
      <c r="T998" t="n">
        <v>2</v>
      </c>
      <c r="U998" t="inlineStr">
        <is>
          <t>2003-11-17</t>
        </is>
      </c>
      <c r="V998" t="inlineStr">
        <is>
          <t>2003-11-17</t>
        </is>
      </c>
      <c r="W998" t="inlineStr">
        <is>
          <t>1993-04-06</t>
        </is>
      </c>
      <c r="X998" t="inlineStr">
        <is>
          <t>1993-04-06</t>
        </is>
      </c>
      <c r="Y998" t="n">
        <v>376</v>
      </c>
      <c r="Z998" t="n">
        <v>287</v>
      </c>
      <c r="AA998" t="n">
        <v>290</v>
      </c>
      <c r="AB998" t="n">
        <v>2</v>
      </c>
      <c r="AC998" t="n">
        <v>2</v>
      </c>
      <c r="AD998" t="n">
        <v>12</v>
      </c>
      <c r="AE998" t="n">
        <v>12</v>
      </c>
      <c r="AF998" t="n">
        <v>4</v>
      </c>
      <c r="AG998" t="n">
        <v>4</v>
      </c>
      <c r="AH998" t="n">
        <v>3</v>
      </c>
      <c r="AI998" t="n">
        <v>3</v>
      </c>
      <c r="AJ998" t="n">
        <v>8</v>
      </c>
      <c r="AK998" t="n">
        <v>8</v>
      </c>
      <c r="AL998" t="n">
        <v>1</v>
      </c>
      <c r="AM998" t="n">
        <v>1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HYPERLINK("http://catalog.hathitrust.org/Record/000162543","HathiTrust Record")</f>
        <v/>
      </c>
      <c r="AS998">
        <f>HYPERLINK("https://creighton-primo.hosted.exlibrisgroup.com/primo-explore/search?tab=default_tab&amp;search_scope=EVERYTHING&amp;vid=01CRU&amp;lang=en_US&amp;offset=0&amp;query=any,contains,991005155419702656","Catalog Record")</f>
        <v/>
      </c>
      <c r="AT998">
        <f>HYPERLINK("http://www.worldcat.org/oclc/7739099","WorldCat Record")</f>
        <v/>
      </c>
      <c r="AU998" t="inlineStr">
        <is>
          <t>889700979:eng</t>
        </is>
      </c>
      <c r="AV998" t="inlineStr">
        <is>
          <t>7739099</t>
        </is>
      </c>
      <c r="AW998" t="inlineStr">
        <is>
          <t>991005155419702656</t>
        </is>
      </c>
      <c r="AX998" t="inlineStr">
        <is>
          <t>991005155419702656</t>
        </is>
      </c>
      <c r="AY998" t="inlineStr">
        <is>
          <t>2258604010002656</t>
        </is>
      </c>
      <c r="AZ998" t="inlineStr">
        <is>
          <t>BOOK</t>
        </is>
      </c>
      <c r="BB998" t="inlineStr">
        <is>
          <t>9780893910808</t>
        </is>
      </c>
      <c r="BC998" t="inlineStr">
        <is>
          <t>32285001603025</t>
        </is>
      </c>
      <c r="BD998" t="inlineStr">
        <is>
          <t>893789530</t>
        </is>
      </c>
    </row>
    <row r="999">
      <c r="A999" t="inlineStr">
        <is>
          <t>No</t>
        </is>
      </c>
      <c r="B999" t="inlineStr">
        <is>
          <t>BF721 .B367</t>
        </is>
      </c>
      <c r="C999" t="inlineStr">
        <is>
          <t>0                      BF 0721000B  367</t>
        </is>
      </c>
      <c r="D999" t="inlineStr">
        <is>
          <t>Children's behavior. Rita E. Bergman, editor.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K999" t="inlineStr">
        <is>
          <t>Bergman, Rita E., compiler.</t>
        </is>
      </c>
      <c r="L999" t="inlineStr">
        <is>
          <t>New York, Exposition Press [1968]</t>
        </is>
      </c>
      <c r="M999" t="inlineStr">
        <is>
          <t>1968</t>
        </is>
      </c>
      <c r="N999" t="inlineStr">
        <is>
          <t>[1st ed.]</t>
        </is>
      </c>
      <c r="O999" t="inlineStr">
        <is>
          <t>eng</t>
        </is>
      </c>
      <c r="P999" t="inlineStr">
        <is>
          <t>nyu</t>
        </is>
      </c>
      <c r="Q999" t="inlineStr">
        <is>
          <t>An Exposition-university book</t>
        </is>
      </c>
      <c r="R999" t="inlineStr">
        <is>
          <t xml:space="preserve">BF </t>
        </is>
      </c>
      <c r="S999" t="n">
        <v>25</v>
      </c>
      <c r="T999" t="n">
        <v>25</v>
      </c>
      <c r="U999" t="inlineStr">
        <is>
          <t>2004-03-02</t>
        </is>
      </c>
      <c r="V999" t="inlineStr">
        <is>
          <t>2004-03-02</t>
        </is>
      </c>
      <c r="W999" t="inlineStr">
        <is>
          <t>1992-02-07</t>
        </is>
      </c>
      <c r="X999" t="inlineStr">
        <is>
          <t>1992-02-07</t>
        </is>
      </c>
      <c r="Y999" t="n">
        <v>299</v>
      </c>
      <c r="Z999" t="n">
        <v>272</v>
      </c>
      <c r="AA999" t="n">
        <v>274</v>
      </c>
      <c r="AB999" t="n">
        <v>5</v>
      </c>
      <c r="AC999" t="n">
        <v>5</v>
      </c>
      <c r="AD999" t="n">
        <v>11</v>
      </c>
      <c r="AE999" t="n">
        <v>11</v>
      </c>
      <c r="AF999" t="n">
        <v>2</v>
      </c>
      <c r="AG999" t="n">
        <v>2</v>
      </c>
      <c r="AH999" t="n">
        <v>1</v>
      </c>
      <c r="AI999" t="n">
        <v>1</v>
      </c>
      <c r="AJ999" t="n">
        <v>5</v>
      </c>
      <c r="AK999" t="n">
        <v>5</v>
      </c>
      <c r="AL999" t="n">
        <v>4</v>
      </c>
      <c r="AM999" t="n">
        <v>4</v>
      </c>
      <c r="AN999" t="n">
        <v>0</v>
      </c>
      <c r="AO999" t="n">
        <v>0</v>
      </c>
      <c r="AP999" t="inlineStr">
        <is>
          <t>No</t>
        </is>
      </c>
      <c r="AQ999" t="inlineStr">
        <is>
          <t>Yes</t>
        </is>
      </c>
      <c r="AR999">
        <f>HYPERLINK("http://catalog.hathitrust.org/Record/000429014","HathiTrust Record")</f>
        <v/>
      </c>
      <c r="AS999">
        <f>HYPERLINK("https://creighton-primo.hosted.exlibrisgroup.com/primo-explore/search?tab=default_tab&amp;search_scope=EVERYTHING&amp;vid=01CRU&amp;lang=en_US&amp;offset=0&amp;query=any,contains,991000001139702656","Catalog Record")</f>
        <v/>
      </c>
      <c r="AT999">
        <f>HYPERLINK("http://www.worldcat.org/oclc/10180","WorldCat Record")</f>
        <v/>
      </c>
      <c r="AU999" t="inlineStr">
        <is>
          <t>1133356:eng</t>
        </is>
      </c>
      <c r="AV999" t="inlineStr">
        <is>
          <t>10180</t>
        </is>
      </c>
      <c r="AW999" t="inlineStr">
        <is>
          <t>991000001139702656</t>
        </is>
      </c>
      <c r="AX999" t="inlineStr">
        <is>
          <t>991000001139702656</t>
        </is>
      </c>
      <c r="AY999" t="inlineStr">
        <is>
          <t>2268357920002656</t>
        </is>
      </c>
      <c r="AZ999" t="inlineStr">
        <is>
          <t>BOOK</t>
        </is>
      </c>
      <c r="BC999" t="inlineStr">
        <is>
          <t>32285000945310</t>
        </is>
      </c>
      <c r="BD999" t="inlineStr">
        <is>
          <t>893425313</t>
        </is>
      </c>
    </row>
    <row r="1000">
      <c r="A1000" t="inlineStr">
        <is>
          <t>No</t>
        </is>
      </c>
      <c r="B1000" t="inlineStr">
        <is>
          <t>BF721 .B368</t>
        </is>
      </c>
      <c r="C1000" t="inlineStr">
        <is>
          <t>0                      BF 0721000B  368</t>
        </is>
      </c>
      <c r="D1000" t="inlineStr">
        <is>
          <t>The development of motives and values in the child.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K1000" t="inlineStr">
        <is>
          <t>Berkowitz, Leonard, 1926-</t>
        </is>
      </c>
      <c r="L1000" t="inlineStr">
        <is>
          <t>New York, Basic Books [1964]</t>
        </is>
      </c>
      <c r="M1000" t="inlineStr">
        <is>
          <t>1964</t>
        </is>
      </c>
      <c r="O1000" t="inlineStr">
        <is>
          <t>eng</t>
        </is>
      </c>
      <c r="P1000" t="inlineStr">
        <is>
          <t>nyu</t>
        </is>
      </c>
      <c r="Q1000" t="inlineStr">
        <is>
          <t>Basic topics in psychology: social psychology</t>
        </is>
      </c>
      <c r="R1000" t="inlineStr">
        <is>
          <t xml:space="preserve">BF </t>
        </is>
      </c>
      <c r="S1000" t="n">
        <v>6</v>
      </c>
      <c r="T1000" t="n">
        <v>6</v>
      </c>
      <c r="U1000" t="inlineStr">
        <is>
          <t>2001-03-21</t>
        </is>
      </c>
      <c r="V1000" t="inlineStr">
        <is>
          <t>2001-03-21</t>
        </is>
      </c>
      <c r="W1000" t="inlineStr">
        <is>
          <t>1992-02-07</t>
        </is>
      </c>
      <c r="X1000" t="inlineStr">
        <is>
          <t>1992-02-07</t>
        </is>
      </c>
      <c r="Y1000" t="n">
        <v>821</v>
      </c>
      <c r="Z1000" t="n">
        <v>663</v>
      </c>
      <c r="AA1000" t="n">
        <v>669</v>
      </c>
      <c r="AB1000" t="n">
        <v>4</v>
      </c>
      <c r="AC1000" t="n">
        <v>4</v>
      </c>
      <c r="AD1000" t="n">
        <v>26</v>
      </c>
      <c r="AE1000" t="n">
        <v>26</v>
      </c>
      <c r="AF1000" t="n">
        <v>11</v>
      </c>
      <c r="AG1000" t="n">
        <v>11</v>
      </c>
      <c r="AH1000" t="n">
        <v>5</v>
      </c>
      <c r="AI1000" t="n">
        <v>5</v>
      </c>
      <c r="AJ1000" t="n">
        <v>12</v>
      </c>
      <c r="AK1000" t="n">
        <v>12</v>
      </c>
      <c r="AL1000" t="n">
        <v>3</v>
      </c>
      <c r="AM1000" t="n">
        <v>3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HYPERLINK("http://catalog.hathitrust.org/Record/000428111","HathiTrust Record")</f>
        <v/>
      </c>
      <c r="AS1000">
        <f>HYPERLINK("https://creighton-primo.hosted.exlibrisgroup.com/primo-explore/search?tab=default_tab&amp;search_scope=EVERYTHING&amp;vid=01CRU&amp;lang=en_US&amp;offset=0&amp;query=any,contains,991001378159702656","Catalog Record")</f>
        <v/>
      </c>
      <c r="AT1000">
        <f>HYPERLINK("http://www.worldcat.org/oclc/225552","WorldCat Record")</f>
        <v/>
      </c>
      <c r="AU1000" t="inlineStr">
        <is>
          <t>1336780:eng</t>
        </is>
      </c>
      <c r="AV1000" t="inlineStr">
        <is>
          <t>225552</t>
        </is>
      </c>
      <c r="AW1000" t="inlineStr">
        <is>
          <t>991001378159702656</t>
        </is>
      </c>
      <c r="AX1000" t="inlineStr">
        <is>
          <t>991001378159702656</t>
        </is>
      </c>
      <c r="AY1000" t="inlineStr">
        <is>
          <t>2263671470002656</t>
        </is>
      </c>
      <c r="AZ1000" t="inlineStr">
        <is>
          <t>BOOK</t>
        </is>
      </c>
      <c r="BC1000" t="inlineStr">
        <is>
          <t>32285000945328</t>
        </is>
      </c>
      <c r="BD1000" t="inlineStr">
        <is>
          <t>893621294</t>
        </is>
      </c>
    </row>
    <row r="1001">
      <c r="A1001" t="inlineStr">
        <is>
          <t>No</t>
        </is>
      </c>
      <c r="B1001" t="inlineStr">
        <is>
          <t>BF721 .B4242</t>
        </is>
      </c>
      <c r="C1001" t="inlineStr">
        <is>
          <t>0                      BF 0721000B  4242</t>
        </is>
      </c>
      <c r="D1001" t="inlineStr">
        <is>
          <t>Child development : the basic stage of early childhood / by Sidney W. Bijou.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K1001" t="inlineStr">
        <is>
          <t>Bijou, Sidney W. (Sidney William), 1908-2009.</t>
        </is>
      </c>
      <c r="L1001" t="inlineStr">
        <is>
          <t>Englewood Cliffs, N.J. : Prentice-Hall, c1976.</t>
        </is>
      </c>
      <c r="M1001" t="inlineStr">
        <is>
          <t>1976</t>
        </is>
      </c>
      <c r="O1001" t="inlineStr">
        <is>
          <t>eng</t>
        </is>
      </c>
      <c r="P1001" t="inlineStr">
        <is>
          <t>nju</t>
        </is>
      </c>
      <c r="Q1001" t="inlineStr">
        <is>
          <t>The Century psychology series</t>
        </is>
      </c>
      <c r="R1001" t="inlineStr">
        <is>
          <t xml:space="preserve">BF </t>
        </is>
      </c>
      <c r="S1001" t="n">
        <v>2</v>
      </c>
      <c r="T1001" t="n">
        <v>2</v>
      </c>
      <c r="U1001" t="inlineStr">
        <is>
          <t>2001-02-27</t>
        </is>
      </c>
      <c r="V1001" t="inlineStr">
        <is>
          <t>2001-02-27</t>
        </is>
      </c>
      <c r="W1001" t="inlineStr">
        <is>
          <t>1992-12-18</t>
        </is>
      </c>
      <c r="X1001" t="inlineStr">
        <is>
          <t>1992-12-18</t>
        </is>
      </c>
      <c r="Y1001" t="n">
        <v>635</v>
      </c>
      <c r="Z1001" t="n">
        <v>510</v>
      </c>
      <c r="AA1001" t="n">
        <v>516</v>
      </c>
      <c r="AB1001" t="n">
        <v>2</v>
      </c>
      <c r="AC1001" t="n">
        <v>2</v>
      </c>
      <c r="AD1001" t="n">
        <v>20</v>
      </c>
      <c r="AE1001" t="n">
        <v>20</v>
      </c>
      <c r="AF1001" t="n">
        <v>10</v>
      </c>
      <c r="AG1001" t="n">
        <v>10</v>
      </c>
      <c r="AH1001" t="n">
        <v>4</v>
      </c>
      <c r="AI1001" t="n">
        <v>4</v>
      </c>
      <c r="AJ1001" t="n">
        <v>12</v>
      </c>
      <c r="AK1001" t="n">
        <v>12</v>
      </c>
      <c r="AL1001" t="n">
        <v>1</v>
      </c>
      <c r="AM1001" t="n">
        <v>1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Yes</t>
        </is>
      </c>
      <c r="AR1001">
        <f>HYPERLINK("http://catalog.hathitrust.org/Record/000719955","HathiTrust Record")</f>
        <v/>
      </c>
      <c r="AS1001">
        <f>HYPERLINK("https://creighton-primo.hosted.exlibrisgroup.com/primo-explore/search?tab=default_tab&amp;search_scope=EVERYTHING&amp;vid=01CRU&amp;lang=en_US&amp;offset=0&amp;query=any,contains,991004061709702656","Catalog Record")</f>
        <v/>
      </c>
      <c r="AT1001">
        <f>HYPERLINK("http://www.worldcat.org/oclc/2272407","WorldCat Record")</f>
        <v/>
      </c>
      <c r="AU1001" t="inlineStr">
        <is>
          <t>3943695227:eng</t>
        </is>
      </c>
      <c r="AV1001" t="inlineStr">
        <is>
          <t>2272407</t>
        </is>
      </c>
      <c r="AW1001" t="inlineStr">
        <is>
          <t>991004061709702656</t>
        </is>
      </c>
      <c r="AX1001" t="inlineStr">
        <is>
          <t>991004061709702656</t>
        </is>
      </c>
      <c r="AY1001" t="inlineStr">
        <is>
          <t>2269358580002656</t>
        </is>
      </c>
      <c r="AZ1001" t="inlineStr">
        <is>
          <t>BOOK</t>
        </is>
      </c>
      <c r="BB1001" t="inlineStr">
        <is>
          <t>9780131304192</t>
        </is>
      </c>
      <c r="BC1001" t="inlineStr">
        <is>
          <t>32285001444479</t>
        </is>
      </c>
      <c r="BD1001" t="inlineStr">
        <is>
          <t>893417178</t>
        </is>
      </c>
    </row>
    <row r="1002">
      <c r="A1002" t="inlineStr">
        <is>
          <t>No</t>
        </is>
      </c>
      <c r="B1002" t="inlineStr">
        <is>
          <t>BF721 .C666</t>
        </is>
      </c>
      <c r="C1002" t="inlineStr">
        <is>
          <t>0                      BF 0721000C  666</t>
        </is>
      </c>
      <c r="D1002" t="inlineStr">
        <is>
          <t>Piaget : with feeling : cognitive, social, and emotional dimensions / Philip A. Cowan.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No</t>
        </is>
      </c>
      <c r="J1002" t="inlineStr">
        <is>
          <t>0</t>
        </is>
      </c>
      <c r="K1002" t="inlineStr">
        <is>
          <t>Cowan, Philip A.</t>
        </is>
      </c>
      <c r="L1002" t="inlineStr">
        <is>
          <t>New York : Holt, Rinehart and Winston, c1978.</t>
        </is>
      </c>
      <c r="M1002" t="inlineStr">
        <is>
          <t>1978</t>
        </is>
      </c>
      <c r="O1002" t="inlineStr">
        <is>
          <t>eng</t>
        </is>
      </c>
      <c r="P1002" t="inlineStr">
        <is>
          <t>nyu</t>
        </is>
      </c>
      <c r="R1002" t="inlineStr">
        <is>
          <t xml:space="preserve">BF </t>
        </is>
      </c>
      <c r="S1002" t="n">
        <v>19</v>
      </c>
      <c r="T1002" t="n">
        <v>19</v>
      </c>
      <c r="U1002" t="inlineStr">
        <is>
          <t>2007-04-19</t>
        </is>
      </c>
      <c r="V1002" t="inlineStr">
        <is>
          <t>2007-04-19</t>
        </is>
      </c>
      <c r="W1002" t="inlineStr">
        <is>
          <t>1990-05-10</t>
        </is>
      </c>
      <c r="X1002" t="inlineStr">
        <is>
          <t>1990-05-10</t>
        </is>
      </c>
      <c r="Y1002" t="n">
        <v>531</v>
      </c>
      <c r="Z1002" t="n">
        <v>409</v>
      </c>
      <c r="AA1002" t="n">
        <v>418</v>
      </c>
      <c r="AB1002" t="n">
        <v>4</v>
      </c>
      <c r="AC1002" t="n">
        <v>4</v>
      </c>
      <c r="AD1002" t="n">
        <v>15</v>
      </c>
      <c r="AE1002" t="n">
        <v>15</v>
      </c>
      <c r="AF1002" t="n">
        <v>4</v>
      </c>
      <c r="AG1002" t="n">
        <v>4</v>
      </c>
      <c r="AH1002" t="n">
        <v>5</v>
      </c>
      <c r="AI1002" t="n">
        <v>5</v>
      </c>
      <c r="AJ1002" t="n">
        <v>9</v>
      </c>
      <c r="AK1002" t="n">
        <v>9</v>
      </c>
      <c r="AL1002" t="n">
        <v>2</v>
      </c>
      <c r="AM1002" t="n">
        <v>2</v>
      </c>
      <c r="AN1002" t="n">
        <v>0</v>
      </c>
      <c r="AO1002" t="n">
        <v>0</v>
      </c>
      <c r="AP1002" t="inlineStr">
        <is>
          <t>No</t>
        </is>
      </c>
      <c r="AQ1002" t="inlineStr">
        <is>
          <t>Yes</t>
        </is>
      </c>
      <c r="AR1002">
        <f>HYPERLINK("http://catalog.hathitrust.org/Record/000092038","HathiTrust Record")</f>
        <v/>
      </c>
      <c r="AS1002">
        <f>HYPERLINK("https://creighton-primo.hosted.exlibrisgroup.com/primo-explore/search?tab=default_tab&amp;search_scope=EVERYTHING&amp;vid=01CRU&amp;lang=en_US&amp;offset=0&amp;query=any,contains,991004480039702656","Catalog Record")</f>
        <v/>
      </c>
      <c r="AT1002">
        <f>HYPERLINK("http://www.worldcat.org/oclc/3627199","WorldCat Record")</f>
        <v/>
      </c>
      <c r="AU1002" t="inlineStr">
        <is>
          <t>363803197:eng</t>
        </is>
      </c>
      <c r="AV1002" t="inlineStr">
        <is>
          <t>3627199</t>
        </is>
      </c>
      <c r="AW1002" t="inlineStr">
        <is>
          <t>991004480039702656</t>
        </is>
      </c>
      <c r="AX1002" t="inlineStr">
        <is>
          <t>991004480039702656</t>
        </is>
      </c>
      <c r="AY1002" t="inlineStr">
        <is>
          <t>2269363480002656</t>
        </is>
      </c>
      <c r="AZ1002" t="inlineStr">
        <is>
          <t>BOOK</t>
        </is>
      </c>
      <c r="BB1002" t="inlineStr">
        <is>
          <t>9780030398568</t>
        </is>
      </c>
      <c r="BC1002" t="inlineStr">
        <is>
          <t>32285000151224</t>
        </is>
      </c>
      <c r="BD1002" t="inlineStr">
        <is>
          <t>893446236</t>
        </is>
      </c>
    </row>
    <row r="1003">
      <c r="A1003" t="inlineStr">
        <is>
          <t>No</t>
        </is>
      </c>
      <c r="B1003" t="inlineStr">
        <is>
          <t>BF721 .D56</t>
        </is>
      </c>
      <c r="C1003" t="inlineStr">
        <is>
          <t>0                      BF 0721000D  56</t>
        </is>
      </c>
      <c r="D1003" t="inlineStr">
        <is>
          <t>Child psychology in contemporary society / John R. Dill.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Dill, John R.</t>
        </is>
      </c>
      <c r="L1003" t="inlineStr">
        <is>
          <t>Boston : Holbrook Press, c1978.</t>
        </is>
      </c>
      <c r="M1003" t="inlineStr">
        <is>
          <t>1978</t>
        </is>
      </c>
      <c r="O1003" t="inlineStr">
        <is>
          <t>eng</t>
        </is>
      </c>
      <c r="P1003" t="inlineStr">
        <is>
          <t>mau</t>
        </is>
      </c>
      <c r="R1003" t="inlineStr">
        <is>
          <t xml:space="preserve">BF </t>
        </is>
      </c>
      <c r="S1003" t="n">
        <v>5</v>
      </c>
      <c r="T1003" t="n">
        <v>5</v>
      </c>
      <c r="U1003" t="inlineStr">
        <is>
          <t>2007-03-18</t>
        </is>
      </c>
      <c r="V1003" t="inlineStr">
        <is>
          <t>2007-03-18</t>
        </is>
      </c>
      <c r="W1003" t="inlineStr">
        <is>
          <t>1993-04-06</t>
        </is>
      </c>
      <c r="X1003" t="inlineStr">
        <is>
          <t>1993-04-06</t>
        </is>
      </c>
      <c r="Y1003" t="n">
        <v>196</v>
      </c>
      <c r="Z1003" t="n">
        <v>162</v>
      </c>
      <c r="AA1003" t="n">
        <v>162</v>
      </c>
      <c r="AB1003" t="n">
        <v>2</v>
      </c>
      <c r="AC1003" t="n">
        <v>2</v>
      </c>
      <c r="AD1003" t="n">
        <v>5</v>
      </c>
      <c r="AE1003" t="n">
        <v>5</v>
      </c>
      <c r="AF1003" t="n">
        <v>1</v>
      </c>
      <c r="AG1003" t="n">
        <v>1</v>
      </c>
      <c r="AH1003" t="n">
        <v>1</v>
      </c>
      <c r="AI1003" t="n">
        <v>1</v>
      </c>
      <c r="AJ1003" t="n">
        <v>4</v>
      </c>
      <c r="AK1003" t="n">
        <v>4</v>
      </c>
      <c r="AL1003" t="n">
        <v>1</v>
      </c>
      <c r="AM1003" t="n">
        <v>1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No</t>
        </is>
      </c>
      <c r="AS1003">
        <f>HYPERLINK("https://creighton-primo.hosted.exlibrisgroup.com/primo-explore/search?tab=default_tab&amp;search_scope=EVERYTHING&amp;vid=01CRU&amp;lang=en_US&amp;offset=0&amp;query=any,contains,991004319869702656","Catalog Record")</f>
        <v/>
      </c>
      <c r="AT1003">
        <f>HYPERLINK("http://www.worldcat.org/oclc/3017000","WorldCat Record")</f>
        <v/>
      </c>
      <c r="AU1003" t="inlineStr">
        <is>
          <t>7126906:eng</t>
        </is>
      </c>
      <c r="AV1003" t="inlineStr">
        <is>
          <t>3017000</t>
        </is>
      </c>
      <c r="AW1003" t="inlineStr">
        <is>
          <t>991004319869702656</t>
        </is>
      </c>
      <c r="AX1003" t="inlineStr">
        <is>
          <t>991004319869702656</t>
        </is>
      </c>
      <c r="AY1003" t="inlineStr">
        <is>
          <t>2269774810002656</t>
        </is>
      </c>
      <c r="AZ1003" t="inlineStr">
        <is>
          <t>BOOK</t>
        </is>
      </c>
      <c r="BB1003" t="inlineStr">
        <is>
          <t>9780205057757</t>
        </is>
      </c>
      <c r="BC1003" t="inlineStr">
        <is>
          <t>32285001603298</t>
        </is>
      </c>
      <c r="BD1003" t="inlineStr">
        <is>
          <t>893800852</t>
        </is>
      </c>
    </row>
    <row r="1004">
      <c r="A1004" t="inlineStr">
        <is>
          <t>No</t>
        </is>
      </c>
      <c r="B1004" t="inlineStr">
        <is>
          <t>BF721 .F385</t>
        </is>
      </c>
      <c r="C1004" t="inlineStr">
        <is>
          <t>0                      BF 0721000F  385</t>
        </is>
      </c>
      <c r="D1004" t="inlineStr">
        <is>
          <t>Child development / Greta G. Fein and the editorial staff of Prentice-Hall.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Fein, Greta G., 1929-</t>
        </is>
      </c>
      <c r="L1004" t="inlineStr">
        <is>
          <t>Englewood Cliffs, N.J. : Prentice-Hall, c1978.</t>
        </is>
      </c>
      <c r="M1004" t="inlineStr">
        <is>
          <t>1978</t>
        </is>
      </c>
      <c r="O1004" t="inlineStr">
        <is>
          <t>eng</t>
        </is>
      </c>
      <c r="P1004" t="inlineStr">
        <is>
          <t>nju</t>
        </is>
      </c>
      <c r="R1004" t="inlineStr">
        <is>
          <t xml:space="preserve">BF </t>
        </is>
      </c>
      <c r="S1004" t="n">
        <v>7</v>
      </c>
      <c r="T1004" t="n">
        <v>7</v>
      </c>
      <c r="U1004" t="inlineStr">
        <is>
          <t>2007-03-18</t>
        </is>
      </c>
      <c r="V1004" t="inlineStr">
        <is>
          <t>2007-03-18</t>
        </is>
      </c>
      <c r="W1004" t="inlineStr">
        <is>
          <t>1992-02-07</t>
        </is>
      </c>
      <c r="X1004" t="inlineStr">
        <is>
          <t>1992-02-07</t>
        </is>
      </c>
      <c r="Y1004" t="n">
        <v>322</v>
      </c>
      <c r="Z1004" t="n">
        <v>190</v>
      </c>
      <c r="AA1004" t="n">
        <v>192</v>
      </c>
      <c r="AB1004" t="n">
        <v>2</v>
      </c>
      <c r="AC1004" t="n">
        <v>2</v>
      </c>
      <c r="AD1004" t="n">
        <v>6</v>
      </c>
      <c r="AE1004" t="n">
        <v>6</v>
      </c>
      <c r="AF1004" t="n">
        <v>2</v>
      </c>
      <c r="AG1004" t="n">
        <v>2</v>
      </c>
      <c r="AH1004" t="n">
        <v>1</v>
      </c>
      <c r="AI1004" t="n">
        <v>1</v>
      </c>
      <c r="AJ1004" t="n">
        <v>5</v>
      </c>
      <c r="AK1004" t="n">
        <v>5</v>
      </c>
      <c r="AL1004" t="n">
        <v>0</v>
      </c>
      <c r="AM1004" t="n">
        <v>0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HYPERLINK("http://catalog.hathitrust.org/Record/007114899","HathiTrust Record")</f>
        <v/>
      </c>
      <c r="AS1004">
        <f>HYPERLINK("https://creighton-primo.hosted.exlibrisgroup.com/primo-explore/search?tab=default_tab&amp;search_scope=EVERYTHING&amp;vid=01CRU&amp;lang=en_US&amp;offset=0&amp;query=any,contains,991004475009702656","Catalog Record")</f>
        <v/>
      </c>
      <c r="AT1004">
        <f>HYPERLINK("http://www.worldcat.org/oclc/3608848","WorldCat Record")</f>
        <v/>
      </c>
      <c r="AU1004" t="inlineStr">
        <is>
          <t>11151697:eng</t>
        </is>
      </c>
      <c r="AV1004" t="inlineStr">
        <is>
          <t>3608848</t>
        </is>
      </c>
      <c r="AW1004" t="inlineStr">
        <is>
          <t>991004475009702656</t>
        </is>
      </c>
      <c r="AX1004" t="inlineStr">
        <is>
          <t>991004475009702656</t>
        </is>
      </c>
      <c r="AY1004" t="inlineStr">
        <is>
          <t>2271043260002656</t>
        </is>
      </c>
      <c r="AZ1004" t="inlineStr">
        <is>
          <t>BOOK</t>
        </is>
      </c>
      <c r="BB1004" t="inlineStr">
        <is>
          <t>9780131325715</t>
        </is>
      </c>
      <c r="BC1004" t="inlineStr">
        <is>
          <t>32285000945336</t>
        </is>
      </c>
      <c r="BD1004" t="inlineStr">
        <is>
          <t>893876152</t>
        </is>
      </c>
    </row>
    <row r="1005">
      <c r="A1005" t="inlineStr">
        <is>
          <t>No</t>
        </is>
      </c>
      <c r="B1005" t="inlineStr">
        <is>
          <t>BF721 .H242 1983, v.3</t>
        </is>
      </c>
      <c r="C1005" t="inlineStr">
        <is>
          <t>0                      BF 0721000H  242         1983                                        v.3</t>
        </is>
      </c>
      <c r="D1005" t="inlineStr">
        <is>
          <t>Cognitive development / John H. Flavell, Ellen M. Markman, volume editors.</t>
        </is>
      </c>
      <c r="E1005" t="inlineStr">
        <is>
          <t>V.3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Yes</t>
        </is>
      </c>
      <c r="J1005" t="inlineStr">
        <is>
          <t>0</t>
        </is>
      </c>
      <c r="L1005" t="inlineStr">
        <is>
          <t>New York : Wiley, c1983.</t>
        </is>
      </c>
      <c r="M1005" t="inlineStr">
        <is>
          <t>1983</t>
        </is>
      </c>
      <c r="N1005" t="inlineStr">
        <is>
          <t>4th ed.</t>
        </is>
      </c>
      <c r="O1005" t="inlineStr">
        <is>
          <t>eng</t>
        </is>
      </c>
      <c r="P1005" t="inlineStr">
        <is>
          <t>nyu</t>
        </is>
      </c>
      <c r="Q1005" t="inlineStr">
        <is>
          <t>Handbook of child psychology ; v. 3</t>
        </is>
      </c>
      <c r="R1005" t="inlineStr">
        <is>
          <t xml:space="preserve">BF </t>
        </is>
      </c>
      <c r="S1005" t="n">
        <v>10</v>
      </c>
      <c r="T1005" t="n">
        <v>10</v>
      </c>
      <c r="U1005" t="inlineStr">
        <is>
          <t>2000-06-27</t>
        </is>
      </c>
      <c r="V1005" t="inlineStr">
        <is>
          <t>2000-06-27</t>
        </is>
      </c>
      <c r="W1005" t="inlineStr">
        <is>
          <t>1992-06-18</t>
        </is>
      </c>
      <c r="X1005" t="inlineStr">
        <is>
          <t>1992-06-18</t>
        </is>
      </c>
      <c r="Y1005" t="n">
        <v>281</v>
      </c>
      <c r="Z1005" t="n">
        <v>236</v>
      </c>
      <c r="AA1005" t="n">
        <v>1138</v>
      </c>
      <c r="AB1005" t="n">
        <v>2</v>
      </c>
      <c r="AC1005" t="n">
        <v>9</v>
      </c>
      <c r="AD1005" t="n">
        <v>9</v>
      </c>
      <c r="AE1005" t="n">
        <v>43</v>
      </c>
      <c r="AF1005" t="n">
        <v>3</v>
      </c>
      <c r="AG1005" t="n">
        <v>20</v>
      </c>
      <c r="AH1005" t="n">
        <v>2</v>
      </c>
      <c r="AI1005" t="n">
        <v>8</v>
      </c>
      <c r="AJ1005" t="n">
        <v>7</v>
      </c>
      <c r="AK1005" t="n">
        <v>22</v>
      </c>
      <c r="AL1005" t="n">
        <v>1</v>
      </c>
      <c r="AM1005" t="n">
        <v>6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Yes</t>
        </is>
      </c>
      <c r="AR1005">
        <f>HYPERLINK("http://catalog.hathitrust.org/Record/102091685","HathiTrust Record")</f>
        <v/>
      </c>
      <c r="AS1005">
        <f>HYPERLINK("https://creighton-primo.hosted.exlibrisgroup.com/primo-explore/search?tab=default_tab&amp;search_scope=EVERYTHING&amp;vid=01CRU&amp;lang=en_US&amp;offset=0&amp;query=any,contains,991000170889702656","Catalog Record")</f>
        <v/>
      </c>
      <c r="AT1005">
        <f>HYPERLINK("http://www.worldcat.org/oclc/9324159","WorldCat Record")</f>
        <v/>
      </c>
      <c r="AU1005" t="inlineStr">
        <is>
          <t>4820499827:eng</t>
        </is>
      </c>
      <c r="AV1005" t="inlineStr">
        <is>
          <t>9324159</t>
        </is>
      </c>
      <c r="AW1005" t="inlineStr">
        <is>
          <t>991000170889702656</t>
        </is>
      </c>
      <c r="AX1005" t="inlineStr">
        <is>
          <t>991000170889702656</t>
        </is>
      </c>
      <c r="AY1005" t="inlineStr">
        <is>
          <t>2259441260002656</t>
        </is>
      </c>
      <c r="AZ1005" t="inlineStr">
        <is>
          <t>BOOK</t>
        </is>
      </c>
      <c r="BB1005" t="inlineStr">
        <is>
          <t>9780471090649</t>
        </is>
      </c>
      <c r="BC1005" t="inlineStr">
        <is>
          <t>32285001099588</t>
        </is>
      </c>
      <c r="BD1005" t="inlineStr">
        <is>
          <t>893902921</t>
        </is>
      </c>
    </row>
    <row r="1006">
      <c r="A1006" t="inlineStr">
        <is>
          <t>No</t>
        </is>
      </c>
      <c r="B1006" t="inlineStr">
        <is>
          <t>BF721 .H243</t>
        </is>
      </c>
      <c r="C1006" t="inlineStr">
        <is>
          <t>0                      BF 0721000H  243</t>
        </is>
      </c>
      <c r="D1006" t="inlineStr">
        <is>
          <t>Handbook of cross-cultural human development / edited by Robert Munroe, Ruth Munroe, Beatrice B. Whiting.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L1006" t="inlineStr">
        <is>
          <t>New York : Garland Pub., c1981.</t>
        </is>
      </c>
      <c r="M1006" t="inlineStr">
        <is>
          <t>1979</t>
        </is>
      </c>
      <c r="O1006" t="inlineStr">
        <is>
          <t>eng</t>
        </is>
      </c>
      <c r="P1006" t="inlineStr">
        <is>
          <t>nyu</t>
        </is>
      </c>
      <c r="R1006" t="inlineStr">
        <is>
          <t xml:space="preserve">BF </t>
        </is>
      </c>
      <c r="S1006" t="n">
        <v>7</v>
      </c>
      <c r="T1006" t="n">
        <v>7</v>
      </c>
      <c r="U1006" t="inlineStr">
        <is>
          <t>2005-02-01</t>
        </is>
      </c>
      <c r="V1006" t="inlineStr">
        <is>
          <t>2005-02-01</t>
        </is>
      </c>
      <c r="W1006" t="inlineStr">
        <is>
          <t>1990-02-14</t>
        </is>
      </c>
      <c r="X1006" t="inlineStr">
        <is>
          <t>1990-02-14</t>
        </is>
      </c>
      <c r="Y1006" t="n">
        <v>423</v>
      </c>
      <c r="Z1006" t="n">
        <v>322</v>
      </c>
      <c r="AA1006" t="n">
        <v>362</v>
      </c>
      <c r="AB1006" t="n">
        <v>1</v>
      </c>
      <c r="AC1006" t="n">
        <v>2</v>
      </c>
      <c r="AD1006" t="n">
        <v>10</v>
      </c>
      <c r="AE1006" t="n">
        <v>11</v>
      </c>
      <c r="AF1006" t="n">
        <v>4</v>
      </c>
      <c r="AG1006" t="n">
        <v>4</v>
      </c>
      <c r="AH1006" t="n">
        <v>2</v>
      </c>
      <c r="AI1006" t="n">
        <v>2</v>
      </c>
      <c r="AJ1006" t="n">
        <v>7</v>
      </c>
      <c r="AK1006" t="n">
        <v>7</v>
      </c>
      <c r="AL1006" t="n">
        <v>0</v>
      </c>
      <c r="AM1006" t="n">
        <v>1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Yes</t>
        </is>
      </c>
      <c r="AR1006">
        <f>HYPERLINK("http://catalog.hathitrust.org/Record/000130626","HathiTrust Record")</f>
        <v/>
      </c>
      <c r="AS1006">
        <f>HYPERLINK("https://creighton-primo.hosted.exlibrisgroup.com/primo-explore/search?tab=default_tab&amp;search_scope=EVERYTHING&amp;vid=01CRU&amp;lang=en_US&amp;offset=0&amp;query=any,contains,991004736289702656","Catalog Record")</f>
        <v/>
      </c>
      <c r="AT1006">
        <f>HYPERLINK("http://www.worldcat.org/oclc/4857767","WorldCat Record")</f>
        <v/>
      </c>
      <c r="AU1006" t="inlineStr">
        <is>
          <t>3856835790:eng</t>
        </is>
      </c>
      <c r="AV1006" t="inlineStr">
        <is>
          <t>4857767</t>
        </is>
      </c>
      <c r="AW1006" t="inlineStr">
        <is>
          <t>991004736289702656</t>
        </is>
      </c>
      <c r="AX1006" t="inlineStr">
        <is>
          <t>991004736289702656</t>
        </is>
      </c>
      <c r="AY1006" t="inlineStr">
        <is>
          <t>2266689720002656</t>
        </is>
      </c>
      <c r="AZ1006" t="inlineStr">
        <is>
          <t>BOOK</t>
        </is>
      </c>
      <c r="BC1006" t="inlineStr">
        <is>
          <t>32285000053651</t>
        </is>
      </c>
      <c r="BD1006" t="inlineStr">
        <is>
          <t>893526440</t>
        </is>
      </c>
    </row>
    <row r="1007">
      <c r="A1007" t="inlineStr">
        <is>
          <t>No</t>
        </is>
      </c>
      <c r="B1007" t="inlineStr">
        <is>
          <t>BF721 .H36 1969</t>
        </is>
      </c>
      <c r="C1007" t="inlineStr">
        <is>
          <t>0                      BF 0721000H  36          1969</t>
        </is>
      </c>
      <c r="D1007" t="inlineStr">
        <is>
          <t>Piaget: a practical consideration; a consideration of the general theories and work of Jean Piaget, with an account of a short follow up study of his work on the development of the concept of geometry, by G. A. Helmore.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Helmore, G. A.</t>
        </is>
      </c>
      <c r="L1007" t="inlineStr">
        <is>
          <t>Oxford, New York, Pergamon Press [1969]</t>
        </is>
      </c>
      <c r="M1007" t="inlineStr">
        <is>
          <t>1969</t>
        </is>
      </c>
      <c r="N1007" t="inlineStr">
        <is>
          <t>[1st ed.]</t>
        </is>
      </c>
      <c r="O1007" t="inlineStr">
        <is>
          <t>eng</t>
        </is>
      </c>
      <c r="P1007" t="inlineStr">
        <is>
          <t>enk</t>
        </is>
      </c>
      <c r="Q1007" t="inlineStr">
        <is>
          <t>The Commonwealth and international library</t>
        </is>
      </c>
      <c r="R1007" t="inlineStr">
        <is>
          <t xml:space="preserve">BF </t>
        </is>
      </c>
      <c r="S1007" t="n">
        <v>1</v>
      </c>
      <c r="T1007" t="n">
        <v>1</v>
      </c>
      <c r="U1007" t="inlineStr">
        <is>
          <t>2001-01-23</t>
        </is>
      </c>
      <c r="V1007" t="inlineStr">
        <is>
          <t>2001-01-23</t>
        </is>
      </c>
      <c r="W1007" t="inlineStr">
        <is>
          <t>1996-08-05</t>
        </is>
      </c>
      <c r="X1007" t="inlineStr">
        <is>
          <t>1996-08-05</t>
        </is>
      </c>
      <c r="Y1007" t="n">
        <v>503</v>
      </c>
      <c r="Z1007" t="n">
        <v>381</v>
      </c>
      <c r="AA1007" t="n">
        <v>434</v>
      </c>
      <c r="AB1007" t="n">
        <v>6</v>
      </c>
      <c r="AC1007" t="n">
        <v>7</v>
      </c>
      <c r="AD1007" t="n">
        <v>21</v>
      </c>
      <c r="AE1007" t="n">
        <v>24</v>
      </c>
      <c r="AF1007" t="n">
        <v>11</v>
      </c>
      <c r="AG1007" t="n">
        <v>11</v>
      </c>
      <c r="AH1007" t="n">
        <v>1</v>
      </c>
      <c r="AI1007" t="n">
        <v>2</v>
      </c>
      <c r="AJ1007" t="n">
        <v>7</v>
      </c>
      <c r="AK1007" t="n">
        <v>8</v>
      </c>
      <c r="AL1007" t="n">
        <v>5</v>
      </c>
      <c r="AM1007" t="n">
        <v>6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Yes</t>
        </is>
      </c>
      <c r="AR1007">
        <f>HYPERLINK("http://catalog.hathitrust.org/Record/000000319","HathiTrust Record")</f>
        <v/>
      </c>
      <c r="AS1007">
        <f>HYPERLINK("https://creighton-primo.hosted.exlibrisgroup.com/primo-explore/search?tab=default_tab&amp;search_scope=EVERYTHING&amp;vid=01CRU&amp;lang=en_US&amp;offset=0&amp;query=any,contains,991000078309702656","Catalog Record")</f>
        <v/>
      </c>
      <c r="AT1007">
        <f>HYPERLINK("http://www.worldcat.org/oclc/30551","WorldCat Record")</f>
        <v/>
      </c>
      <c r="AU1007" t="inlineStr">
        <is>
          <t>3945452896:eng</t>
        </is>
      </c>
      <c r="AV1007" t="inlineStr">
        <is>
          <t>30551</t>
        </is>
      </c>
      <c r="AW1007" t="inlineStr">
        <is>
          <t>991000078309702656</t>
        </is>
      </c>
      <c r="AX1007" t="inlineStr">
        <is>
          <t>991000078309702656</t>
        </is>
      </c>
      <c r="AY1007" t="inlineStr">
        <is>
          <t>2262241260002656</t>
        </is>
      </c>
      <c r="AZ1007" t="inlineStr">
        <is>
          <t>BOOK</t>
        </is>
      </c>
      <c r="BB1007" t="inlineStr">
        <is>
          <t>9780080068930</t>
        </is>
      </c>
      <c r="BC1007" t="inlineStr">
        <is>
          <t>32285002255296</t>
        </is>
      </c>
      <c r="BD1007" t="inlineStr">
        <is>
          <t>893877781</t>
        </is>
      </c>
    </row>
    <row r="1008">
      <c r="A1008" t="inlineStr">
        <is>
          <t>No</t>
        </is>
      </c>
      <c r="B1008" t="inlineStr">
        <is>
          <t>BF721 .H8 1978</t>
        </is>
      </c>
      <c r="C1008" t="inlineStr">
        <is>
          <t>0                      BF 0721000H  8           1978</t>
        </is>
      </c>
      <c r="D1008" t="inlineStr">
        <is>
          <t>Child development / Elizabeth B. Hurlock.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Hurlock, Elizabeth B. (Elizabeth Bergner), 1898-1988.</t>
        </is>
      </c>
      <c r="L1008" t="inlineStr">
        <is>
          <t>New York : McGraw-Hill, c1978.</t>
        </is>
      </c>
      <c r="M1008" t="inlineStr">
        <is>
          <t>1978</t>
        </is>
      </c>
      <c r="N1008" t="inlineStr">
        <is>
          <t>6th ed.</t>
        </is>
      </c>
      <c r="O1008" t="inlineStr">
        <is>
          <t>eng</t>
        </is>
      </c>
      <c r="P1008" t="inlineStr">
        <is>
          <t>nyu</t>
        </is>
      </c>
      <c r="Q1008" t="inlineStr">
        <is>
          <t>McGraw-Hill series in psychology</t>
        </is>
      </c>
      <c r="R1008" t="inlineStr">
        <is>
          <t xml:space="preserve">BF </t>
        </is>
      </c>
      <c r="S1008" t="n">
        <v>5</v>
      </c>
      <c r="T1008" t="n">
        <v>5</v>
      </c>
      <c r="U1008" t="inlineStr">
        <is>
          <t>2007-03-18</t>
        </is>
      </c>
      <c r="V1008" t="inlineStr">
        <is>
          <t>2007-03-18</t>
        </is>
      </c>
      <c r="W1008" t="inlineStr">
        <is>
          <t>1993-04-07</t>
        </is>
      </c>
      <c r="X1008" t="inlineStr">
        <is>
          <t>1993-04-07</t>
        </is>
      </c>
      <c r="Y1008" t="n">
        <v>486</v>
      </c>
      <c r="Z1008" t="n">
        <v>322</v>
      </c>
      <c r="AA1008" t="n">
        <v>974</v>
      </c>
      <c r="AB1008" t="n">
        <v>3</v>
      </c>
      <c r="AC1008" t="n">
        <v>11</v>
      </c>
      <c r="AD1008" t="n">
        <v>10</v>
      </c>
      <c r="AE1008" t="n">
        <v>34</v>
      </c>
      <c r="AF1008" t="n">
        <v>6</v>
      </c>
      <c r="AG1008" t="n">
        <v>13</v>
      </c>
      <c r="AH1008" t="n">
        <v>1</v>
      </c>
      <c r="AI1008" t="n">
        <v>5</v>
      </c>
      <c r="AJ1008" t="n">
        <v>4</v>
      </c>
      <c r="AK1008" t="n">
        <v>17</v>
      </c>
      <c r="AL1008" t="n">
        <v>1</v>
      </c>
      <c r="AM1008" t="n">
        <v>6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Yes</t>
        </is>
      </c>
      <c r="AR1008">
        <f>HYPERLINK("http://catalog.hathitrust.org/Record/000292502","HathiTrust Record")</f>
        <v/>
      </c>
      <c r="AS1008">
        <f>HYPERLINK("https://creighton-primo.hosted.exlibrisgroup.com/primo-explore/search?tab=default_tab&amp;search_scope=EVERYTHING&amp;vid=01CRU&amp;lang=en_US&amp;offset=0&amp;query=any,contains,991005265019702656","Catalog Record")</f>
        <v/>
      </c>
      <c r="AT1008">
        <f>HYPERLINK("http://www.worldcat.org/oclc/3120949","WorldCat Record")</f>
        <v/>
      </c>
      <c r="AU1008" t="inlineStr">
        <is>
          <t>919063821:eng</t>
        </is>
      </c>
      <c r="AV1008" t="inlineStr">
        <is>
          <t>3120949</t>
        </is>
      </c>
      <c r="AW1008" t="inlineStr">
        <is>
          <t>991005265019702656</t>
        </is>
      </c>
      <c r="AX1008" t="inlineStr">
        <is>
          <t>991005265019702656</t>
        </is>
      </c>
      <c r="AY1008" t="inlineStr">
        <is>
          <t>2263927790002656</t>
        </is>
      </c>
      <c r="AZ1008" t="inlineStr">
        <is>
          <t>BOOK</t>
        </is>
      </c>
      <c r="BB1008" t="inlineStr">
        <is>
          <t>9780070314276</t>
        </is>
      </c>
      <c r="BC1008" t="inlineStr">
        <is>
          <t>32285001603637</t>
        </is>
      </c>
      <c r="BD1008" t="inlineStr">
        <is>
          <t>893619710</t>
        </is>
      </c>
    </row>
    <row r="1009">
      <c r="A1009" t="inlineStr">
        <is>
          <t>No</t>
        </is>
      </c>
      <c r="B1009" t="inlineStr">
        <is>
          <t>BF721 .K16</t>
        </is>
      </c>
      <c r="C1009" t="inlineStr">
        <is>
          <t>0                      BF 0721000K  16</t>
        </is>
      </c>
      <c r="D1009" t="inlineStr">
        <is>
          <t>Personality development / Irving L. Janis, editor.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Kagan, Jerome.</t>
        </is>
      </c>
      <c r="L1009" t="inlineStr">
        <is>
          <t>New York : Harcourt Brace Jovanovich, [1971]</t>
        </is>
      </c>
      <c r="M1009" t="inlineStr">
        <is>
          <t>1971</t>
        </is>
      </c>
      <c r="O1009" t="inlineStr">
        <is>
          <t>eng</t>
        </is>
      </c>
      <c r="P1009" t="inlineStr">
        <is>
          <t>nyu</t>
        </is>
      </c>
      <c r="R1009" t="inlineStr">
        <is>
          <t xml:space="preserve">BF </t>
        </is>
      </c>
      <c r="S1009" t="n">
        <v>5</v>
      </c>
      <c r="T1009" t="n">
        <v>5</v>
      </c>
      <c r="U1009" t="inlineStr">
        <is>
          <t>1998-12-03</t>
        </is>
      </c>
      <c r="V1009" t="inlineStr">
        <is>
          <t>1998-12-03</t>
        </is>
      </c>
      <c r="W1009" t="inlineStr">
        <is>
          <t>1993-04-06</t>
        </is>
      </c>
      <c r="X1009" t="inlineStr">
        <is>
          <t>1993-04-06</t>
        </is>
      </c>
      <c r="Y1009" t="n">
        <v>424</v>
      </c>
      <c r="Z1009" t="n">
        <v>268</v>
      </c>
      <c r="AA1009" t="n">
        <v>274</v>
      </c>
      <c r="AB1009" t="n">
        <v>3</v>
      </c>
      <c r="AC1009" t="n">
        <v>3</v>
      </c>
      <c r="AD1009" t="n">
        <v>13</v>
      </c>
      <c r="AE1009" t="n">
        <v>13</v>
      </c>
      <c r="AF1009" t="n">
        <v>4</v>
      </c>
      <c r="AG1009" t="n">
        <v>4</v>
      </c>
      <c r="AH1009" t="n">
        <v>2</v>
      </c>
      <c r="AI1009" t="n">
        <v>2</v>
      </c>
      <c r="AJ1009" t="n">
        <v>6</v>
      </c>
      <c r="AK1009" t="n">
        <v>6</v>
      </c>
      <c r="AL1009" t="n">
        <v>2</v>
      </c>
      <c r="AM1009" t="n">
        <v>2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HYPERLINK("http://catalog.hathitrust.org/Record/000428547","HathiTrust Record")</f>
        <v/>
      </c>
      <c r="AS1009">
        <f>HYPERLINK("https://creighton-primo.hosted.exlibrisgroup.com/primo-explore/search?tab=default_tab&amp;search_scope=EVERYTHING&amp;vid=01CRU&amp;lang=en_US&amp;offset=0&amp;query=any,contains,991000821569702656","Catalog Record")</f>
        <v/>
      </c>
      <c r="AT1009">
        <f>HYPERLINK("http://www.worldcat.org/oclc/145062","WorldCat Record")</f>
        <v/>
      </c>
      <c r="AU1009" t="inlineStr">
        <is>
          <t>3943358986:eng</t>
        </is>
      </c>
      <c r="AV1009" t="inlineStr">
        <is>
          <t>145062</t>
        </is>
      </c>
      <c r="AW1009" t="inlineStr">
        <is>
          <t>991000821569702656</t>
        </is>
      </c>
      <c r="AX1009" t="inlineStr">
        <is>
          <t>991000821569702656</t>
        </is>
      </c>
      <c r="AY1009" t="inlineStr">
        <is>
          <t>2257700490002656</t>
        </is>
      </c>
      <c r="AZ1009" t="inlineStr">
        <is>
          <t>BOOK</t>
        </is>
      </c>
      <c r="BB1009" t="inlineStr">
        <is>
          <t>9780155697508</t>
        </is>
      </c>
      <c r="BC1009" t="inlineStr">
        <is>
          <t>32285001603439</t>
        </is>
      </c>
      <c r="BD1009" t="inlineStr">
        <is>
          <t>893261625</t>
        </is>
      </c>
    </row>
    <row r="1010">
      <c r="A1010" t="inlineStr">
        <is>
          <t>No</t>
        </is>
      </c>
      <c r="B1010" t="inlineStr">
        <is>
          <t>BF721 .K17</t>
        </is>
      </c>
      <c r="C1010" t="inlineStr">
        <is>
          <t>0                      BF 0721000K  17</t>
        </is>
      </c>
      <c r="D1010" t="inlineStr">
        <is>
          <t>Understanding children : behavior, motives, and thought.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K1010" t="inlineStr">
        <is>
          <t>Kagan, Jerome.</t>
        </is>
      </c>
      <c r="L1010" t="inlineStr">
        <is>
          <t>New York : Harcourt Brace Jovanovich, [1971]</t>
        </is>
      </c>
      <c r="M1010" t="inlineStr">
        <is>
          <t>1971</t>
        </is>
      </c>
      <c r="O1010" t="inlineStr">
        <is>
          <t>eng</t>
        </is>
      </c>
      <c r="P1010" t="inlineStr">
        <is>
          <t>nyu</t>
        </is>
      </c>
      <c r="R1010" t="inlineStr">
        <is>
          <t xml:space="preserve">BF </t>
        </is>
      </c>
      <c r="S1010" t="n">
        <v>4</v>
      </c>
      <c r="T1010" t="n">
        <v>4</v>
      </c>
      <c r="U1010" t="inlineStr">
        <is>
          <t>1998-02-11</t>
        </is>
      </c>
      <c r="V1010" t="inlineStr">
        <is>
          <t>1998-02-11</t>
        </is>
      </c>
      <c r="W1010" t="inlineStr">
        <is>
          <t>1993-04-06</t>
        </is>
      </c>
      <c r="X1010" t="inlineStr">
        <is>
          <t>1993-04-06</t>
        </is>
      </c>
      <c r="Y1010" t="n">
        <v>846</v>
      </c>
      <c r="Z1010" t="n">
        <v>680</v>
      </c>
      <c r="AA1010" t="n">
        <v>684</v>
      </c>
      <c r="AB1010" t="n">
        <v>5</v>
      </c>
      <c r="AC1010" t="n">
        <v>5</v>
      </c>
      <c r="AD1010" t="n">
        <v>31</v>
      </c>
      <c r="AE1010" t="n">
        <v>31</v>
      </c>
      <c r="AF1010" t="n">
        <v>15</v>
      </c>
      <c r="AG1010" t="n">
        <v>15</v>
      </c>
      <c r="AH1010" t="n">
        <v>9</v>
      </c>
      <c r="AI1010" t="n">
        <v>9</v>
      </c>
      <c r="AJ1010" t="n">
        <v>11</v>
      </c>
      <c r="AK1010" t="n">
        <v>11</v>
      </c>
      <c r="AL1010" t="n">
        <v>4</v>
      </c>
      <c r="AM1010" t="n">
        <v>4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Yes</t>
        </is>
      </c>
      <c r="AR1010">
        <f>HYPERLINK("http://catalog.hathitrust.org/Record/000428500","HathiTrust Record")</f>
        <v/>
      </c>
      <c r="AS1010">
        <f>HYPERLINK("https://creighton-primo.hosted.exlibrisgroup.com/primo-explore/search?tab=default_tab&amp;search_scope=EVERYTHING&amp;vid=01CRU&amp;lang=en_US&amp;offset=0&amp;query=any,contains,991000820749702656","Catalog Record")</f>
        <v/>
      </c>
      <c r="AT1010">
        <f>HYPERLINK("http://www.worldcat.org/oclc/144722","WorldCat Record")</f>
        <v/>
      </c>
      <c r="AU1010" t="inlineStr">
        <is>
          <t>241035026:eng</t>
        </is>
      </c>
      <c r="AV1010" t="inlineStr">
        <is>
          <t>144722</t>
        </is>
      </c>
      <c r="AW1010" t="inlineStr">
        <is>
          <t>991000820749702656</t>
        </is>
      </c>
      <c r="AX1010" t="inlineStr">
        <is>
          <t>991000820749702656</t>
        </is>
      </c>
      <c r="AY1010" t="inlineStr">
        <is>
          <t>2257444790002656</t>
        </is>
      </c>
      <c r="AZ1010" t="inlineStr">
        <is>
          <t>BOOK</t>
        </is>
      </c>
      <c r="BB1010" t="inlineStr">
        <is>
          <t>9780155928732</t>
        </is>
      </c>
      <c r="BC1010" t="inlineStr">
        <is>
          <t>32285001603454</t>
        </is>
      </c>
      <c r="BD1010" t="inlineStr">
        <is>
          <t>893595919</t>
        </is>
      </c>
    </row>
    <row r="1011">
      <c r="A1011" t="inlineStr">
        <is>
          <t>No</t>
        </is>
      </c>
      <c r="B1011" t="inlineStr">
        <is>
          <t>BF721 .L26</t>
        </is>
      </c>
      <c r="C1011" t="inlineStr">
        <is>
          <t>0                      BF 0721000L  26</t>
        </is>
      </c>
      <c r="D1011" t="inlineStr">
        <is>
          <t>Foundations of developmental psychology / Richard C. LaBarba ; [cover and chapter opening art by Paula Goodman].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LaBarba, Richard C.</t>
        </is>
      </c>
      <c r="L1011" t="inlineStr">
        <is>
          <t>New York : Academic Press, c1981.</t>
        </is>
      </c>
      <c r="M1011" t="inlineStr">
        <is>
          <t>1981</t>
        </is>
      </c>
      <c r="O1011" t="inlineStr">
        <is>
          <t>eng</t>
        </is>
      </c>
      <c r="P1011" t="inlineStr">
        <is>
          <t>nyu</t>
        </is>
      </c>
      <c r="R1011" t="inlineStr">
        <is>
          <t xml:space="preserve">BF </t>
        </is>
      </c>
      <c r="S1011" t="n">
        <v>4</v>
      </c>
      <c r="T1011" t="n">
        <v>4</v>
      </c>
      <c r="U1011" t="inlineStr">
        <is>
          <t>2007-03-18</t>
        </is>
      </c>
      <c r="V1011" t="inlineStr">
        <is>
          <t>2007-03-18</t>
        </is>
      </c>
      <c r="W1011" t="inlineStr">
        <is>
          <t>1993-04-06</t>
        </is>
      </c>
      <c r="X1011" t="inlineStr">
        <is>
          <t>1993-04-06</t>
        </is>
      </c>
      <c r="Y1011" t="n">
        <v>238</v>
      </c>
      <c r="Z1011" t="n">
        <v>142</v>
      </c>
      <c r="AA1011" t="n">
        <v>188</v>
      </c>
      <c r="AB1011" t="n">
        <v>1</v>
      </c>
      <c r="AC1011" t="n">
        <v>2</v>
      </c>
      <c r="AD1011" t="n">
        <v>6</v>
      </c>
      <c r="AE1011" t="n">
        <v>9</v>
      </c>
      <c r="AF1011" t="n">
        <v>3</v>
      </c>
      <c r="AG1011" t="n">
        <v>4</v>
      </c>
      <c r="AH1011" t="n">
        <v>0</v>
      </c>
      <c r="AI1011" t="n">
        <v>1</v>
      </c>
      <c r="AJ1011" t="n">
        <v>4</v>
      </c>
      <c r="AK1011" t="n">
        <v>4</v>
      </c>
      <c r="AL1011" t="n">
        <v>0</v>
      </c>
      <c r="AM1011" t="n">
        <v>1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No</t>
        </is>
      </c>
      <c r="AS1011">
        <f>HYPERLINK("https://creighton-primo.hosted.exlibrisgroup.com/primo-explore/search?tab=default_tab&amp;search_scope=EVERYTHING&amp;vid=01CRU&amp;lang=en_US&amp;offset=0&amp;query=any,contains,991005131759702656","Catalog Record")</f>
        <v/>
      </c>
      <c r="AT1011">
        <f>HYPERLINK("http://www.worldcat.org/oclc/7573136","WorldCat Record")</f>
        <v/>
      </c>
      <c r="AU1011" t="inlineStr">
        <is>
          <t>28829462:eng</t>
        </is>
      </c>
      <c r="AV1011" t="inlineStr">
        <is>
          <t>7573136</t>
        </is>
      </c>
      <c r="AW1011" t="inlineStr">
        <is>
          <t>991005131759702656</t>
        </is>
      </c>
      <c r="AX1011" t="inlineStr">
        <is>
          <t>991005131759702656</t>
        </is>
      </c>
      <c r="AY1011" t="inlineStr">
        <is>
          <t>2271639750002656</t>
        </is>
      </c>
      <c r="AZ1011" t="inlineStr">
        <is>
          <t>BOOK</t>
        </is>
      </c>
      <c r="BB1011" t="inlineStr">
        <is>
          <t>9780124323506</t>
        </is>
      </c>
      <c r="BC1011" t="inlineStr">
        <is>
          <t>32285001603470</t>
        </is>
      </c>
      <c r="BD1011" t="inlineStr">
        <is>
          <t>893795662</t>
        </is>
      </c>
    </row>
    <row r="1012">
      <c r="A1012" t="inlineStr">
        <is>
          <t>No</t>
        </is>
      </c>
      <c r="B1012" t="inlineStr">
        <is>
          <t>BF721 .L443 1977</t>
        </is>
      </c>
      <c r="C1012" t="inlineStr">
        <is>
          <t>0                      BF 0721000L  443         1977</t>
        </is>
      </c>
      <c r="D1012" t="inlineStr">
        <is>
          <t>The growth and development of children / Catherine Lee. --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K1012" t="inlineStr">
        <is>
          <t>Lee, C. M. (Catherine Macaulay)</t>
        </is>
      </c>
      <c r="L1012" t="inlineStr">
        <is>
          <t>London ; New York : Longman, 1977.</t>
        </is>
      </c>
      <c r="M1012" t="inlineStr">
        <is>
          <t>1977</t>
        </is>
      </c>
      <c r="N1012" t="inlineStr">
        <is>
          <t>2d ed.</t>
        </is>
      </c>
      <c r="O1012" t="inlineStr">
        <is>
          <t>eng</t>
        </is>
      </c>
      <c r="P1012" t="inlineStr">
        <is>
          <t>enk</t>
        </is>
      </c>
      <c r="R1012" t="inlineStr">
        <is>
          <t xml:space="preserve">BF </t>
        </is>
      </c>
      <c r="S1012" t="n">
        <v>8</v>
      </c>
      <c r="T1012" t="n">
        <v>8</v>
      </c>
      <c r="U1012" t="inlineStr">
        <is>
          <t>1996-04-02</t>
        </is>
      </c>
      <c r="V1012" t="inlineStr">
        <is>
          <t>1996-04-02</t>
        </is>
      </c>
      <c r="W1012" t="inlineStr">
        <is>
          <t>1993-04-06</t>
        </is>
      </c>
      <c r="X1012" t="inlineStr">
        <is>
          <t>1993-04-06</t>
        </is>
      </c>
      <c r="Y1012" t="n">
        <v>244</v>
      </c>
      <c r="Z1012" t="n">
        <v>177</v>
      </c>
      <c r="AA1012" t="n">
        <v>274</v>
      </c>
      <c r="AB1012" t="n">
        <v>4</v>
      </c>
      <c r="AC1012" t="n">
        <v>7</v>
      </c>
      <c r="AD1012" t="n">
        <v>9</v>
      </c>
      <c r="AE1012" t="n">
        <v>12</v>
      </c>
      <c r="AF1012" t="n">
        <v>4</v>
      </c>
      <c r="AG1012" t="n">
        <v>4</v>
      </c>
      <c r="AH1012" t="n">
        <v>1</v>
      </c>
      <c r="AI1012" t="n">
        <v>1</v>
      </c>
      <c r="AJ1012" t="n">
        <v>3</v>
      </c>
      <c r="AK1012" t="n">
        <v>3</v>
      </c>
      <c r="AL1012" t="n">
        <v>3</v>
      </c>
      <c r="AM1012" t="n">
        <v>6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HYPERLINK("http://catalog.hathitrust.org/Record/009056497","HathiTrust Record")</f>
        <v/>
      </c>
      <c r="AS1012">
        <f>HYPERLINK("https://creighton-primo.hosted.exlibrisgroup.com/primo-explore/search?tab=default_tab&amp;search_scope=EVERYTHING&amp;vid=01CRU&amp;lang=en_US&amp;offset=0&amp;query=any,contains,991004300169702656","Catalog Record")</f>
        <v/>
      </c>
      <c r="AT1012">
        <f>HYPERLINK("http://www.worldcat.org/oclc/2967875","WorldCat Record")</f>
        <v/>
      </c>
      <c r="AU1012" t="inlineStr">
        <is>
          <t>9093664150:eng</t>
        </is>
      </c>
      <c r="AV1012" t="inlineStr">
        <is>
          <t>2967875</t>
        </is>
      </c>
      <c r="AW1012" t="inlineStr">
        <is>
          <t>991004300169702656</t>
        </is>
      </c>
      <c r="AX1012" t="inlineStr">
        <is>
          <t>991004300169702656</t>
        </is>
      </c>
      <c r="AY1012" t="inlineStr">
        <is>
          <t>2269383540002656</t>
        </is>
      </c>
      <c r="AZ1012" t="inlineStr">
        <is>
          <t>BOOK</t>
        </is>
      </c>
      <c r="BB1012" t="inlineStr">
        <is>
          <t>9780582488281</t>
        </is>
      </c>
      <c r="BC1012" t="inlineStr">
        <is>
          <t>32285001603488</t>
        </is>
      </c>
      <c r="BD1012" t="inlineStr">
        <is>
          <t>893535902</t>
        </is>
      </c>
    </row>
    <row r="1013">
      <c r="A1013" t="inlineStr">
        <is>
          <t>No</t>
        </is>
      </c>
      <c r="B1013" t="inlineStr">
        <is>
          <t>BF721 .M215 1987</t>
        </is>
      </c>
      <c r="C1013" t="inlineStr">
        <is>
          <t>0                      BF 0721000M  215         1987</t>
        </is>
      </c>
      <c r="D1013" t="inlineStr">
        <is>
          <t>Making sense : the child's construction of the world / edited by Jerome Bruner and Helen Haste.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L1013" t="inlineStr">
        <is>
          <t>London ; New York : Methuen, 1987.</t>
        </is>
      </c>
      <c r="M1013" t="inlineStr">
        <is>
          <t>1987</t>
        </is>
      </c>
      <c r="O1013" t="inlineStr">
        <is>
          <t>eng</t>
        </is>
      </c>
      <c r="P1013" t="inlineStr">
        <is>
          <t>enk</t>
        </is>
      </c>
      <c r="R1013" t="inlineStr">
        <is>
          <t xml:space="preserve">BF </t>
        </is>
      </c>
      <c r="S1013" t="n">
        <v>9</v>
      </c>
      <c r="T1013" t="n">
        <v>9</v>
      </c>
      <c r="U1013" t="inlineStr">
        <is>
          <t>2002-02-07</t>
        </is>
      </c>
      <c r="V1013" t="inlineStr">
        <is>
          <t>2002-02-07</t>
        </is>
      </c>
      <c r="W1013" t="inlineStr">
        <is>
          <t>1990-03-15</t>
        </is>
      </c>
      <c r="X1013" t="inlineStr">
        <is>
          <t>1990-03-15</t>
        </is>
      </c>
      <c r="Y1013" t="n">
        <v>756</v>
      </c>
      <c r="Z1013" t="n">
        <v>557</v>
      </c>
      <c r="AA1013" t="n">
        <v>859</v>
      </c>
      <c r="AB1013" t="n">
        <v>7</v>
      </c>
      <c r="AC1013" t="n">
        <v>9</v>
      </c>
      <c r="AD1013" t="n">
        <v>28</v>
      </c>
      <c r="AE1013" t="n">
        <v>40</v>
      </c>
      <c r="AF1013" t="n">
        <v>10</v>
      </c>
      <c r="AG1013" t="n">
        <v>14</v>
      </c>
      <c r="AH1013" t="n">
        <v>6</v>
      </c>
      <c r="AI1013" t="n">
        <v>8</v>
      </c>
      <c r="AJ1013" t="n">
        <v>13</v>
      </c>
      <c r="AK1013" t="n">
        <v>17</v>
      </c>
      <c r="AL1013" t="n">
        <v>6</v>
      </c>
      <c r="AM1013" t="n">
        <v>8</v>
      </c>
      <c r="AN1013" t="n">
        <v>0</v>
      </c>
      <c r="AO1013" t="n">
        <v>1</v>
      </c>
      <c r="AP1013" t="inlineStr">
        <is>
          <t>No</t>
        </is>
      </c>
      <c r="AQ1013" t="inlineStr">
        <is>
          <t>No</t>
        </is>
      </c>
      <c r="AS1013">
        <f>HYPERLINK("https://creighton-primo.hosted.exlibrisgroup.com/primo-explore/search?tab=default_tab&amp;search_scope=EVERYTHING&amp;vid=01CRU&amp;lang=en_US&amp;offset=0&amp;query=any,contains,991001041989702656","Catalog Record")</f>
        <v/>
      </c>
      <c r="AT1013">
        <f>HYPERLINK("http://www.worldcat.org/oclc/15590266","WorldCat Record")</f>
        <v/>
      </c>
      <c r="AU1013" t="inlineStr">
        <is>
          <t>141063709:eng</t>
        </is>
      </c>
      <c r="AV1013" t="inlineStr">
        <is>
          <t>15590266</t>
        </is>
      </c>
      <c r="AW1013" t="inlineStr">
        <is>
          <t>991001041989702656</t>
        </is>
      </c>
      <c r="AX1013" t="inlineStr">
        <is>
          <t>991001041989702656</t>
        </is>
      </c>
      <c r="AY1013" t="inlineStr">
        <is>
          <t>2263492140002656</t>
        </is>
      </c>
      <c r="AZ1013" t="inlineStr">
        <is>
          <t>BOOK</t>
        </is>
      </c>
      <c r="BB1013" t="inlineStr">
        <is>
          <t>9780416924909</t>
        </is>
      </c>
      <c r="BC1013" t="inlineStr">
        <is>
          <t>32285000044973</t>
        </is>
      </c>
      <c r="BD1013" t="inlineStr">
        <is>
          <t>893340114</t>
        </is>
      </c>
    </row>
    <row r="1014">
      <c r="A1014" t="inlineStr">
        <is>
          <t>No</t>
        </is>
      </c>
      <c r="B1014" t="inlineStr">
        <is>
          <t>BF721 .M545 v.12</t>
        </is>
      </c>
      <c r="C1014" t="inlineStr">
        <is>
          <t>0                      BF 0721000M  545                                                     v.12</t>
        </is>
      </c>
      <c r="D1014" t="inlineStr">
        <is>
          <t>Children's language and communication : the 12th Annual Minnesota Symposium on Child Psychology / edited by W. Andrew Collins.</t>
        </is>
      </c>
      <c r="E1014" t="inlineStr">
        <is>
          <t>V.12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K1014" t="inlineStr">
        <is>
          <t>Minnesota Symposium on Child Psychology (12th : 1977 : University of Minnesota)</t>
        </is>
      </c>
      <c r="L1014" t="inlineStr">
        <is>
          <t>Hillsdale, N.J. : L. Erlbaum Associates ; New York : distributed solely by Halsted Press, c1979.</t>
        </is>
      </c>
      <c r="M1014" t="inlineStr">
        <is>
          <t>1979</t>
        </is>
      </c>
      <c r="O1014" t="inlineStr">
        <is>
          <t>eng</t>
        </is>
      </c>
      <c r="P1014" t="inlineStr">
        <is>
          <t>nju</t>
        </is>
      </c>
      <c r="R1014" t="inlineStr">
        <is>
          <t xml:space="preserve">BF </t>
        </is>
      </c>
      <c r="S1014" t="n">
        <v>3</v>
      </c>
      <c r="T1014" t="n">
        <v>3</v>
      </c>
      <c r="U1014" t="inlineStr">
        <is>
          <t>1995-03-25</t>
        </is>
      </c>
      <c r="V1014" t="inlineStr">
        <is>
          <t>1995-03-25</t>
        </is>
      </c>
      <c r="W1014" t="inlineStr">
        <is>
          <t>1992-02-12</t>
        </is>
      </c>
      <c r="X1014" t="inlineStr">
        <is>
          <t>1992-02-12</t>
        </is>
      </c>
      <c r="Y1014" t="n">
        <v>307</v>
      </c>
      <c r="Z1014" t="n">
        <v>230</v>
      </c>
      <c r="AA1014" t="n">
        <v>238</v>
      </c>
      <c r="AB1014" t="n">
        <v>3</v>
      </c>
      <c r="AC1014" t="n">
        <v>3</v>
      </c>
      <c r="AD1014" t="n">
        <v>16</v>
      </c>
      <c r="AE1014" t="n">
        <v>16</v>
      </c>
      <c r="AF1014" t="n">
        <v>5</v>
      </c>
      <c r="AG1014" t="n">
        <v>5</v>
      </c>
      <c r="AH1014" t="n">
        <v>6</v>
      </c>
      <c r="AI1014" t="n">
        <v>6</v>
      </c>
      <c r="AJ1014" t="n">
        <v>11</v>
      </c>
      <c r="AK1014" t="n">
        <v>11</v>
      </c>
      <c r="AL1014" t="n">
        <v>1</v>
      </c>
      <c r="AM1014" t="n">
        <v>1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No</t>
        </is>
      </c>
      <c r="AS1014">
        <f>HYPERLINK("https://creighton-primo.hosted.exlibrisgroup.com/primo-explore/search?tab=default_tab&amp;search_scope=EVERYTHING&amp;vid=01CRU&amp;lang=en_US&amp;offset=0&amp;query=any,contains,991004693809702656","Catalog Record")</f>
        <v/>
      </c>
      <c r="AT1014">
        <f>HYPERLINK("http://www.worldcat.org/oclc/4638130","WorldCat Record")</f>
        <v/>
      </c>
      <c r="AU1014" t="inlineStr">
        <is>
          <t>146916613:eng</t>
        </is>
      </c>
      <c r="AV1014" t="inlineStr">
        <is>
          <t>4638130</t>
        </is>
      </c>
      <c r="AW1014" t="inlineStr">
        <is>
          <t>991004693809702656</t>
        </is>
      </c>
      <c r="AX1014" t="inlineStr">
        <is>
          <t>991004693809702656</t>
        </is>
      </c>
      <c r="AY1014" t="inlineStr">
        <is>
          <t>2256110540002656</t>
        </is>
      </c>
      <c r="AZ1014" t="inlineStr">
        <is>
          <t>BOOK</t>
        </is>
      </c>
      <c r="BC1014" t="inlineStr">
        <is>
          <t>32285000956721</t>
        </is>
      </c>
      <c r="BD1014" t="inlineStr">
        <is>
          <t>893889146</t>
        </is>
      </c>
    </row>
    <row r="1015">
      <c r="A1015" t="inlineStr">
        <is>
          <t>No</t>
        </is>
      </c>
      <c r="B1015" t="inlineStr">
        <is>
          <t>BF721 .M545 v.13</t>
        </is>
      </c>
      <c r="C1015" t="inlineStr">
        <is>
          <t>0                      BF 0721000M  545                                                     v.13</t>
        </is>
      </c>
      <c r="D1015" t="inlineStr">
        <is>
          <t>Development of cognition, affect, and social relations / edited by W. Andrew Collins.</t>
        </is>
      </c>
      <c r="E1015" t="inlineStr">
        <is>
          <t>V.13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K1015" t="inlineStr">
        <is>
          <t>Minnesota Symposium on Child Psychology (13th : 1978 : University of Minnesota)</t>
        </is>
      </c>
      <c r="L1015" t="inlineStr">
        <is>
          <t>Hillsdale, N.J. : L. Erlbaum Associates, 1980.</t>
        </is>
      </c>
      <c r="M1015" t="inlineStr">
        <is>
          <t>1980</t>
        </is>
      </c>
      <c r="O1015" t="inlineStr">
        <is>
          <t>eng</t>
        </is>
      </c>
      <c r="P1015" t="inlineStr">
        <is>
          <t>nju</t>
        </is>
      </c>
      <c r="R1015" t="inlineStr">
        <is>
          <t xml:space="preserve">BF </t>
        </is>
      </c>
      <c r="S1015" t="n">
        <v>5</v>
      </c>
      <c r="T1015" t="n">
        <v>5</v>
      </c>
      <c r="U1015" t="inlineStr">
        <is>
          <t>1999-11-29</t>
        </is>
      </c>
      <c r="V1015" t="inlineStr">
        <is>
          <t>1999-11-29</t>
        </is>
      </c>
      <c r="W1015" t="inlineStr">
        <is>
          <t>1992-02-12</t>
        </is>
      </c>
      <c r="X1015" t="inlineStr">
        <is>
          <t>1992-02-12</t>
        </is>
      </c>
      <c r="Y1015" t="n">
        <v>316</v>
      </c>
      <c r="Z1015" t="n">
        <v>242</v>
      </c>
      <c r="AA1015" t="n">
        <v>266</v>
      </c>
      <c r="AB1015" t="n">
        <v>4</v>
      </c>
      <c r="AC1015" t="n">
        <v>4</v>
      </c>
      <c r="AD1015" t="n">
        <v>18</v>
      </c>
      <c r="AE1015" t="n">
        <v>18</v>
      </c>
      <c r="AF1015" t="n">
        <v>5</v>
      </c>
      <c r="AG1015" t="n">
        <v>5</v>
      </c>
      <c r="AH1015" t="n">
        <v>6</v>
      </c>
      <c r="AI1015" t="n">
        <v>6</v>
      </c>
      <c r="AJ1015" t="n">
        <v>12</v>
      </c>
      <c r="AK1015" t="n">
        <v>12</v>
      </c>
      <c r="AL1015" t="n">
        <v>2</v>
      </c>
      <c r="AM1015" t="n">
        <v>2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No</t>
        </is>
      </c>
      <c r="AS1015">
        <f>HYPERLINK("https://creighton-primo.hosted.exlibrisgroup.com/primo-explore/search?tab=default_tab&amp;search_scope=EVERYTHING&amp;vid=01CRU&amp;lang=en_US&amp;offset=0&amp;query=any,contains,991004896459702656","Catalog Record")</f>
        <v/>
      </c>
      <c r="AT1015">
        <f>HYPERLINK("http://www.worldcat.org/oclc/5894219","WorldCat Record")</f>
        <v/>
      </c>
      <c r="AU1015" t="inlineStr">
        <is>
          <t>478968086:eng</t>
        </is>
      </c>
      <c r="AV1015" t="inlineStr">
        <is>
          <t>5894219</t>
        </is>
      </c>
      <c r="AW1015" t="inlineStr">
        <is>
          <t>991004896459702656</t>
        </is>
      </c>
      <c r="AX1015" t="inlineStr">
        <is>
          <t>991004896459702656</t>
        </is>
      </c>
      <c r="AY1015" t="inlineStr">
        <is>
          <t>2264339070002656</t>
        </is>
      </c>
      <c r="AZ1015" t="inlineStr">
        <is>
          <t>BOOK</t>
        </is>
      </c>
      <c r="BB1015" t="inlineStr">
        <is>
          <t>9780898590234</t>
        </is>
      </c>
      <c r="BC1015" t="inlineStr">
        <is>
          <t>32285000956739</t>
        </is>
      </c>
      <c r="BD1015" t="inlineStr">
        <is>
          <t>893260299</t>
        </is>
      </c>
    </row>
    <row r="1016">
      <c r="A1016" t="inlineStr">
        <is>
          <t>No</t>
        </is>
      </c>
      <c r="B1016" t="inlineStr">
        <is>
          <t>BF721 .M545 v.16</t>
        </is>
      </c>
      <c r="C1016" t="inlineStr">
        <is>
          <t>0                      BF 0721000M  545                                                     v.16</t>
        </is>
      </c>
      <c r="D1016" t="inlineStr">
        <is>
          <t>Development and policy concerning children with special needs / edited by Marion Perlmutter.</t>
        </is>
      </c>
      <c r="E1016" t="inlineStr">
        <is>
          <t>V.16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K1016" t="inlineStr">
        <is>
          <t>Minnesota Symposium on Child Psychology (16th : 1981 : University of Minnesota)</t>
        </is>
      </c>
      <c r="L1016" t="inlineStr">
        <is>
          <t>Hillsdale, N.J. : L. Erlbaum Associates, 1983.</t>
        </is>
      </c>
      <c r="M1016" t="inlineStr">
        <is>
          <t>1983</t>
        </is>
      </c>
      <c r="O1016" t="inlineStr">
        <is>
          <t>eng</t>
        </is>
      </c>
      <c r="P1016" t="inlineStr">
        <is>
          <t>nju</t>
        </is>
      </c>
      <c r="R1016" t="inlineStr">
        <is>
          <t xml:space="preserve">BF </t>
        </is>
      </c>
      <c r="S1016" t="n">
        <v>4</v>
      </c>
      <c r="T1016" t="n">
        <v>4</v>
      </c>
      <c r="U1016" t="inlineStr">
        <is>
          <t>2006-09-08</t>
        </is>
      </c>
      <c r="V1016" t="inlineStr">
        <is>
          <t>2006-09-08</t>
        </is>
      </c>
      <c r="W1016" t="inlineStr">
        <is>
          <t>1992-02-12</t>
        </is>
      </c>
      <c r="X1016" t="inlineStr">
        <is>
          <t>1992-02-12</t>
        </is>
      </c>
      <c r="Y1016" t="n">
        <v>272</v>
      </c>
      <c r="Z1016" t="n">
        <v>206</v>
      </c>
      <c r="AA1016" t="n">
        <v>206</v>
      </c>
      <c r="AB1016" t="n">
        <v>2</v>
      </c>
      <c r="AC1016" t="n">
        <v>2</v>
      </c>
      <c r="AD1016" t="n">
        <v>14</v>
      </c>
      <c r="AE1016" t="n">
        <v>14</v>
      </c>
      <c r="AF1016" t="n">
        <v>4</v>
      </c>
      <c r="AG1016" t="n">
        <v>4</v>
      </c>
      <c r="AH1016" t="n">
        <v>3</v>
      </c>
      <c r="AI1016" t="n">
        <v>3</v>
      </c>
      <c r="AJ1016" t="n">
        <v>10</v>
      </c>
      <c r="AK1016" t="n">
        <v>10</v>
      </c>
      <c r="AL1016" t="n">
        <v>1</v>
      </c>
      <c r="AM1016" t="n">
        <v>1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No</t>
        </is>
      </c>
      <c r="AS1016">
        <f>HYPERLINK("https://creighton-primo.hosted.exlibrisgroup.com/primo-explore/search?tab=default_tab&amp;search_scope=EVERYTHING&amp;vid=01CRU&amp;lang=en_US&amp;offset=0&amp;query=any,contains,991000169789702656","Catalog Record")</f>
        <v/>
      </c>
      <c r="AT1016">
        <f>HYPERLINK("http://www.worldcat.org/oclc/9323187","WorldCat Record")</f>
        <v/>
      </c>
      <c r="AU1016" t="inlineStr">
        <is>
          <t>366508035:eng</t>
        </is>
      </c>
      <c r="AV1016" t="inlineStr">
        <is>
          <t>9323187</t>
        </is>
      </c>
      <c r="AW1016" t="inlineStr">
        <is>
          <t>991000169789702656</t>
        </is>
      </c>
      <c r="AX1016" t="inlineStr">
        <is>
          <t>991000169789702656</t>
        </is>
      </c>
      <c r="AY1016" t="inlineStr">
        <is>
          <t>2257862030002656</t>
        </is>
      </c>
      <c r="AZ1016" t="inlineStr">
        <is>
          <t>BOOK</t>
        </is>
      </c>
      <c r="BB1016" t="inlineStr">
        <is>
          <t>9780898592610</t>
        </is>
      </c>
      <c r="BC1016" t="inlineStr">
        <is>
          <t>32285000956762</t>
        </is>
      </c>
      <c r="BD1016" t="inlineStr">
        <is>
          <t>893871478</t>
        </is>
      </c>
    </row>
    <row r="1017">
      <c r="A1017" t="inlineStr">
        <is>
          <t>No</t>
        </is>
      </c>
      <c r="B1017" t="inlineStr">
        <is>
          <t>BF721 .M545 v.17</t>
        </is>
      </c>
      <c r="C1017" t="inlineStr">
        <is>
          <t>0                      BF 0721000M  545                                                     v.17</t>
        </is>
      </c>
      <c r="D1017" t="inlineStr">
        <is>
          <t>Parent-child interaction and parent-child relations in child development / edited by Marion Perlmutter.</t>
        </is>
      </c>
      <c r="E1017" t="inlineStr">
        <is>
          <t>V.17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K1017" t="inlineStr">
        <is>
          <t>Minnesota Symposium on Child Psychology (17th : 1982 : University of Minnesota)</t>
        </is>
      </c>
      <c r="L1017" t="inlineStr">
        <is>
          <t>Hillsdale, N.J. : L. Erlbaum Associates, 1984.</t>
        </is>
      </c>
      <c r="M1017" t="inlineStr">
        <is>
          <t>1984</t>
        </is>
      </c>
      <c r="O1017" t="inlineStr">
        <is>
          <t>eng</t>
        </is>
      </c>
      <c r="P1017" t="inlineStr">
        <is>
          <t>nju</t>
        </is>
      </c>
      <c r="R1017" t="inlineStr">
        <is>
          <t xml:space="preserve">BF </t>
        </is>
      </c>
      <c r="S1017" t="n">
        <v>7</v>
      </c>
      <c r="T1017" t="n">
        <v>7</v>
      </c>
      <c r="U1017" t="inlineStr">
        <is>
          <t>2008-11-17</t>
        </is>
      </c>
      <c r="V1017" t="inlineStr">
        <is>
          <t>2008-11-17</t>
        </is>
      </c>
      <c r="W1017" t="inlineStr">
        <is>
          <t>1992-02-12</t>
        </is>
      </c>
      <c r="X1017" t="inlineStr">
        <is>
          <t>1992-02-12</t>
        </is>
      </c>
      <c r="Y1017" t="n">
        <v>307</v>
      </c>
      <c r="Z1017" t="n">
        <v>235</v>
      </c>
      <c r="AA1017" t="n">
        <v>263</v>
      </c>
      <c r="AB1017" t="n">
        <v>2</v>
      </c>
      <c r="AC1017" t="n">
        <v>2</v>
      </c>
      <c r="AD1017" t="n">
        <v>17</v>
      </c>
      <c r="AE1017" t="n">
        <v>17</v>
      </c>
      <c r="AF1017" t="n">
        <v>5</v>
      </c>
      <c r="AG1017" t="n">
        <v>5</v>
      </c>
      <c r="AH1017" t="n">
        <v>4</v>
      </c>
      <c r="AI1017" t="n">
        <v>4</v>
      </c>
      <c r="AJ1017" t="n">
        <v>12</v>
      </c>
      <c r="AK1017" t="n">
        <v>12</v>
      </c>
      <c r="AL1017" t="n">
        <v>1</v>
      </c>
      <c r="AM1017" t="n">
        <v>1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No</t>
        </is>
      </c>
      <c r="AS1017">
        <f>HYPERLINK("https://creighton-primo.hosted.exlibrisgroup.com/primo-explore/search?tab=default_tab&amp;search_scope=EVERYTHING&amp;vid=01CRU&amp;lang=en_US&amp;offset=0&amp;query=any,contains,991000337709702656","Catalog Record")</f>
        <v/>
      </c>
      <c r="AT1017">
        <f>HYPERLINK("http://www.worldcat.org/oclc/10230865","WorldCat Record")</f>
        <v/>
      </c>
      <c r="AU1017" t="inlineStr">
        <is>
          <t>147153186:eng</t>
        </is>
      </c>
      <c r="AV1017" t="inlineStr">
        <is>
          <t>10230865</t>
        </is>
      </c>
      <c r="AW1017" t="inlineStr">
        <is>
          <t>991000337709702656</t>
        </is>
      </c>
      <c r="AX1017" t="inlineStr">
        <is>
          <t>991000337709702656</t>
        </is>
      </c>
      <c r="AY1017" t="inlineStr">
        <is>
          <t>2258530430002656</t>
        </is>
      </c>
      <c r="AZ1017" t="inlineStr">
        <is>
          <t>BOOK</t>
        </is>
      </c>
      <c r="BB1017" t="inlineStr">
        <is>
          <t>9780898593808</t>
        </is>
      </c>
      <c r="BC1017" t="inlineStr">
        <is>
          <t>32285000956770</t>
        </is>
      </c>
      <c r="BD1017" t="inlineStr">
        <is>
          <t>893683323</t>
        </is>
      </c>
    </row>
    <row r="1018">
      <c r="A1018" t="inlineStr">
        <is>
          <t>No</t>
        </is>
      </c>
      <c r="B1018" t="inlineStr">
        <is>
          <t>BF721 .M545 v.21</t>
        </is>
      </c>
      <c r="C1018" t="inlineStr">
        <is>
          <t>0                      BF 0721000M  545                                                     v.21</t>
        </is>
      </c>
      <c r="D1018" t="inlineStr">
        <is>
          <t>Development during the transition to adolescence / edited by Megan R. Gunnar, W. Andrew Collins.</t>
        </is>
      </c>
      <c r="E1018" t="inlineStr">
        <is>
          <t>V.21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K1018" t="inlineStr">
        <is>
          <t>Minnesota Symposium on Child Psychology (21st : 1986 : University of Minnesota)</t>
        </is>
      </c>
      <c r="L1018" t="inlineStr">
        <is>
          <t>Hillsdale, N.J. : L. Erlbaum Associates, 1988.</t>
        </is>
      </c>
      <c r="M1018" t="inlineStr">
        <is>
          <t>1988</t>
        </is>
      </c>
      <c r="O1018" t="inlineStr">
        <is>
          <t>eng</t>
        </is>
      </c>
      <c r="P1018" t="inlineStr">
        <is>
          <t>nju</t>
        </is>
      </c>
      <c r="R1018" t="inlineStr">
        <is>
          <t xml:space="preserve">BF </t>
        </is>
      </c>
      <c r="S1018" t="n">
        <v>12</v>
      </c>
      <c r="T1018" t="n">
        <v>12</v>
      </c>
      <c r="U1018" t="inlineStr">
        <is>
          <t>1997-02-27</t>
        </is>
      </c>
      <c r="V1018" t="inlineStr">
        <is>
          <t>1997-02-27</t>
        </is>
      </c>
      <c r="W1018" t="inlineStr">
        <is>
          <t>1992-02-12</t>
        </is>
      </c>
      <c r="X1018" t="inlineStr">
        <is>
          <t>1992-02-12</t>
        </is>
      </c>
      <c r="Y1018" t="n">
        <v>319</v>
      </c>
      <c r="Z1018" t="n">
        <v>245</v>
      </c>
      <c r="AA1018" t="n">
        <v>271</v>
      </c>
      <c r="AB1018" t="n">
        <v>2</v>
      </c>
      <c r="AC1018" t="n">
        <v>2</v>
      </c>
      <c r="AD1018" t="n">
        <v>13</v>
      </c>
      <c r="AE1018" t="n">
        <v>13</v>
      </c>
      <c r="AF1018" t="n">
        <v>4</v>
      </c>
      <c r="AG1018" t="n">
        <v>4</v>
      </c>
      <c r="AH1018" t="n">
        <v>3</v>
      </c>
      <c r="AI1018" t="n">
        <v>3</v>
      </c>
      <c r="AJ1018" t="n">
        <v>9</v>
      </c>
      <c r="AK1018" t="n">
        <v>9</v>
      </c>
      <c r="AL1018" t="n">
        <v>1</v>
      </c>
      <c r="AM1018" t="n">
        <v>1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No</t>
        </is>
      </c>
      <c r="AS1018">
        <f>HYPERLINK("https://creighton-primo.hosted.exlibrisgroup.com/primo-explore/search?tab=default_tab&amp;search_scope=EVERYTHING&amp;vid=01CRU&amp;lang=en_US&amp;offset=0&amp;query=any,contains,991001193779702656","Catalog Record")</f>
        <v/>
      </c>
      <c r="AT1018">
        <f>HYPERLINK("http://www.worldcat.org/oclc/17263697","WorldCat Record")</f>
        <v/>
      </c>
      <c r="AU1018" t="inlineStr">
        <is>
          <t>1154235633:eng</t>
        </is>
      </c>
      <c r="AV1018" t="inlineStr">
        <is>
          <t>17263697</t>
        </is>
      </c>
      <c r="AW1018" t="inlineStr">
        <is>
          <t>991001193779702656</t>
        </is>
      </c>
      <c r="AX1018" t="inlineStr">
        <is>
          <t>991001193779702656</t>
        </is>
      </c>
      <c r="AY1018" t="inlineStr">
        <is>
          <t>2266485950002656</t>
        </is>
      </c>
      <c r="AZ1018" t="inlineStr">
        <is>
          <t>BOOK</t>
        </is>
      </c>
      <c r="BB1018" t="inlineStr">
        <is>
          <t>9780805801941</t>
        </is>
      </c>
      <c r="BC1018" t="inlineStr">
        <is>
          <t>32285000956788</t>
        </is>
      </c>
      <c r="BD1018" t="inlineStr">
        <is>
          <t>893225672</t>
        </is>
      </c>
    </row>
    <row r="1019">
      <c r="A1019" t="inlineStr">
        <is>
          <t>No</t>
        </is>
      </c>
      <c r="B1019" t="inlineStr">
        <is>
          <t>BF721 .M545 v.23</t>
        </is>
      </c>
      <c r="C1019" t="inlineStr">
        <is>
          <t>0                      BF 0721000M  545                                                     v.23</t>
        </is>
      </c>
      <c r="D1019" t="inlineStr">
        <is>
          <t>Self processes and development / edited by Megan R. Gunnar, L. Alan Sroufe.</t>
        </is>
      </c>
      <c r="E1019" t="inlineStr">
        <is>
          <t>V.23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L1019" t="inlineStr">
        <is>
          <t>Hillsdale, N.J. : L. Erlbaum Associates, 1991.</t>
        </is>
      </c>
      <c r="M1019" t="inlineStr">
        <is>
          <t>1991</t>
        </is>
      </c>
      <c r="O1019" t="inlineStr">
        <is>
          <t>eng</t>
        </is>
      </c>
      <c r="P1019" t="inlineStr">
        <is>
          <t>nju</t>
        </is>
      </c>
      <c r="Q1019" t="inlineStr">
        <is>
          <t>The Minnesota symposia on child psychology ; v. 23</t>
        </is>
      </c>
      <c r="R1019" t="inlineStr">
        <is>
          <t xml:space="preserve">BF </t>
        </is>
      </c>
      <c r="S1019" t="n">
        <v>3</v>
      </c>
      <c r="T1019" t="n">
        <v>3</v>
      </c>
      <c r="U1019" t="inlineStr">
        <is>
          <t>1993-02-20</t>
        </is>
      </c>
      <c r="V1019" t="inlineStr">
        <is>
          <t>1993-02-20</t>
        </is>
      </c>
      <c r="W1019" t="inlineStr">
        <is>
          <t>1992-06-05</t>
        </is>
      </c>
      <c r="X1019" t="inlineStr">
        <is>
          <t>1992-06-05</t>
        </is>
      </c>
      <c r="Y1019" t="n">
        <v>306</v>
      </c>
      <c r="Z1019" t="n">
        <v>236</v>
      </c>
      <c r="AA1019" t="n">
        <v>242</v>
      </c>
      <c r="AB1019" t="n">
        <v>2</v>
      </c>
      <c r="AC1019" t="n">
        <v>2</v>
      </c>
      <c r="AD1019" t="n">
        <v>19</v>
      </c>
      <c r="AE1019" t="n">
        <v>19</v>
      </c>
      <c r="AF1019" t="n">
        <v>6</v>
      </c>
      <c r="AG1019" t="n">
        <v>6</v>
      </c>
      <c r="AH1019" t="n">
        <v>5</v>
      </c>
      <c r="AI1019" t="n">
        <v>5</v>
      </c>
      <c r="AJ1019" t="n">
        <v>13</v>
      </c>
      <c r="AK1019" t="n">
        <v>13</v>
      </c>
      <c r="AL1019" t="n">
        <v>1</v>
      </c>
      <c r="AM1019" t="n">
        <v>1</v>
      </c>
      <c r="AN1019" t="n">
        <v>0</v>
      </c>
      <c r="AO1019" t="n">
        <v>0</v>
      </c>
      <c r="AP1019" t="inlineStr">
        <is>
          <t>No</t>
        </is>
      </c>
      <c r="AQ1019" t="inlineStr">
        <is>
          <t>No</t>
        </is>
      </c>
      <c r="AS1019">
        <f>HYPERLINK("https://creighton-primo.hosted.exlibrisgroup.com/primo-explore/search?tab=default_tab&amp;search_scope=EVERYTHING&amp;vid=01CRU&amp;lang=en_US&amp;offset=0&amp;query=any,contains,991001686009702656","Catalog Record")</f>
        <v/>
      </c>
      <c r="AT1019">
        <f>HYPERLINK("http://www.worldcat.org/oclc/21406477","WorldCat Record")</f>
        <v/>
      </c>
      <c r="AU1019" t="inlineStr">
        <is>
          <t>350363072:eng</t>
        </is>
      </c>
      <c r="AV1019" t="inlineStr">
        <is>
          <t>21406477</t>
        </is>
      </c>
      <c r="AW1019" t="inlineStr">
        <is>
          <t>991001686009702656</t>
        </is>
      </c>
      <c r="AX1019" t="inlineStr">
        <is>
          <t>991001686009702656</t>
        </is>
      </c>
      <c r="AY1019" t="inlineStr">
        <is>
          <t>2267704130002656</t>
        </is>
      </c>
      <c r="AZ1019" t="inlineStr">
        <is>
          <t>BOOK</t>
        </is>
      </c>
      <c r="BB1019" t="inlineStr">
        <is>
          <t>9780805806953</t>
        </is>
      </c>
      <c r="BC1019" t="inlineStr">
        <is>
          <t>32285001128247</t>
        </is>
      </c>
      <c r="BD1019" t="inlineStr">
        <is>
          <t>893772800</t>
        </is>
      </c>
    </row>
    <row r="1020">
      <c r="A1020" t="inlineStr">
        <is>
          <t>No</t>
        </is>
      </c>
      <c r="B1020" t="inlineStr">
        <is>
          <t>BF721 .M547</t>
        </is>
      </c>
      <c r="C1020" t="inlineStr">
        <is>
          <t>0                      BF 0721000M  547</t>
        </is>
      </c>
      <c r="D1020" t="inlineStr">
        <is>
          <t>The middle years of childhood / Patricia P. Minuchin. --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Minuchin, Patricia.</t>
        </is>
      </c>
      <c r="L1020" t="inlineStr">
        <is>
          <t>Monterey, Calif. : Brooks/Cole Pub. Co., c1977.</t>
        </is>
      </c>
      <c r="M1020" t="inlineStr">
        <is>
          <t>1977</t>
        </is>
      </c>
      <c r="O1020" t="inlineStr">
        <is>
          <t>eng</t>
        </is>
      </c>
      <c r="P1020" t="inlineStr">
        <is>
          <t>cau</t>
        </is>
      </c>
      <c r="Q1020" t="inlineStr">
        <is>
          <t>Life-span human development series</t>
        </is>
      </c>
      <c r="R1020" t="inlineStr">
        <is>
          <t xml:space="preserve">BF </t>
        </is>
      </c>
      <c r="S1020" t="n">
        <v>3</v>
      </c>
      <c r="T1020" t="n">
        <v>3</v>
      </c>
      <c r="U1020" t="inlineStr">
        <is>
          <t>2005-09-06</t>
        </is>
      </c>
      <c r="V1020" t="inlineStr">
        <is>
          <t>2005-09-06</t>
        </is>
      </c>
      <c r="W1020" t="inlineStr">
        <is>
          <t>1993-10-26</t>
        </is>
      </c>
      <c r="X1020" t="inlineStr">
        <is>
          <t>1993-10-26</t>
        </is>
      </c>
      <c r="Y1020" t="n">
        <v>287</v>
      </c>
      <c r="Z1020" t="n">
        <v>231</v>
      </c>
      <c r="AA1020" t="n">
        <v>232</v>
      </c>
      <c r="AB1020" t="n">
        <v>6</v>
      </c>
      <c r="AC1020" t="n">
        <v>6</v>
      </c>
      <c r="AD1020" t="n">
        <v>9</v>
      </c>
      <c r="AE1020" t="n">
        <v>9</v>
      </c>
      <c r="AF1020" t="n">
        <v>2</v>
      </c>
      <c r="AG1020" t="n">
        <v>2</v>
      </c>
      <c r="AH1020" t="n">
        <v>2</v>
      </c>
      <c r="AI1020" t="n">
        <v>2</v>
      </c>
      <c r="AJ1020" t="n">
        <v>5</v>
      </c>
      <c r="AK1020" t="n">
        <v>5</v>
      </c>
      <c r="AL1020" t="n">
        <v>3</v>
      </c>
      <c r="AM1020" t="n">
        <v>3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HYPERLINK("http://catalog.hathitrust.org/Record/007475220","HathiTrust Record")</f>
        <v/>
      </c>
      <c r="AS1020">
        <f>HYPERLINK("https://creighton-primo.hosted.exlibrisgroup.com/primo-explore/search?tab=default_tab&amp;search_scope=EVERYTHING&amp;vid=01CRU&amp;lang=en_US&amp;offset=0&amp;query=any,contains,991005265039702656","Catalog Record")</f>
        <v/>
      </c>
      <c r="AT1020">
        <f>HYPERLINK("http://www.worldcat.org/oclc/2984309","WorldCat Record")</f>
        <v/>
      </c>
      <c r="AU1020" t="inlineStr">
        <is>
          <t>7025388:eng</t>
        </is>
      </c>
      <c r="AV1020" t="inlineStr">
        <is>
          <t>2984309</t>
        </is>
      </c>
      <c r="AW1020" t="inlineStr">
        <is>
          <t>991005265039702656</t>
        </is>
      </c>
      <c r="AX1020" t="inlineStr">
        <is>
          <t>991005265039702656</t>
        </is>
      </c>
      <c r="AY1020" t="inlineStr">
        <is>
          <t>2258287220002656</t>
        </is>
      </c>
      <c r="AZ1020" t="inlineStr">
        <is>
          <t>BOOK</t>
        </is>
      </c>
      <c r="BB1020" t="inlineStr">
        <is>
          <t>9780818501364</t>
        </is>
      </c>
      <c r="BC1020" t="inlineStr">
        <is>
          <t>32285001795136</t>
        </is>
      </c>
      <c r="BD1020" t="inlineStr">
        <is>
          <t>893619711</t>
        </is>
      </c>
    </row>
    <row r="1021">
      <c r="A1021" t="inlineStr">
        <is>
          <t>No</t>
        </is>
      </c>
      <c r="B1021" t="inlineStr">
        <is>
          <t>BF721 .M89 1979</t>
        </is>
      </c>
      <c r="C1021" t="inlineStr">
        <is>
          <t>0                      BF 0721000M  89          1979</t>
        </is>
      </c>
      <c r="D1021" t="inlineStr">
        <is>
          <t>The psychological development of the child / Paul Mussen.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Mussen, Paul Henry.</t>
        </is>
      </c>
      <c r="L1021" t="inlineStr">
        <is>
          <t>Englewood Cliffs, N.J. : Prentice-Hall, c1979.</t>
        </is>
      </c>
      <c r="M1021" t="inlineStr">
        <is>
          <t>1979</t>
        </is>
      </c>
      <c r="N1021" t="inlineStr">
        <is>
          <t>3d ed.</t>
        </is>
      </c>
      <c r="O1021" t="inlineStr">
        <is>
          <t>eng</t>
        </is>
      </c>
      <c r="P1021" t="inlineStr">
        <is>
          <t>nju</t>
        </is>
      </c>
      <c r="Q1021" t="inlineStr">
        <is>
          <t>Prentice-Hall Foundations of modern psyhcology series</t>
        </is>
      </c>
      <c r="R1021" t="inlineStr">
        <is>
          <t xml:space="preserve">BF </t>
        </is>
      </c>
      <c r="S1021" t="n">
        <v>1</v>
      </c>
      <c r="T1021" t="n">
        <v>1</v>
      </c>
      <c r="U1021" t="inlineStr">
        <is>
          <t>2005-04-02</t>
        </is>
      </c>
      <c r="V1021" t="inlineStr">
        <is>
          <t>2005-04-02</t>
        </is>
      </c>
      <c r="W1021" t="inlineStr">
        <is>
          <t>1993-04-06</t>
        </is>
      </c>
      <c r="X1021" t="inlineStr">
        <is>
          <t>1993-04-06</t>
        </is>
      </c>
      <c r="Y1021" t="n">
        <v>426</v>
      </c>
      <c r="Z1021" t="n">
        <v>302</v>
      </c>
      <c r="AA1021" t="n">
        <v>1034</v>
      </c>
      <c r="AB1021" t="n">
        <v>4</v>
      </c>
      <c r="AC1021" t="n">
        <v>8</v>
      </c>
      <c r="AD1021" t="n">
        <v>11</v>
      </c>
      <c r="AE1021" t="n">
        <v>34</v>
      </c>
      <c r="AF1021" t="n">
        <v>4</v>
      </c>
      <c r="AG1021" t="n">
        <v>12</v>
      </c>
      <c r="AH1021" t="n">
        <v>4</v>
      </c>
      <c r="AI1021" t="n">
        <v>9</v>
      </c>
      <c r="AJ1021" t="n">
        <v>3</v>
      </c>
      <c r="AK1021" t="n">
        <v>17</v>
      </c>
      <c r="AL1021" t="n">
        <v>3</v>
      </c>
      <c r="AM1021" t="n">
        <v>6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HYPERLINK("http://catalog.hathitrust.org/Record/000702770","HathiTrust Record")</f>
        <v/>
      </c>
      <c r="AS1021">
        <f>HYPERLINK("https://creighton-primo.hosted.exlibrisgroup.com/primo-explore/search?tab=default_tab&amp;search_scope=EVERYTHING&amp;vid=01CRU&amp;lang=en_US&amp;offset=0&amp;query=any,contains,991004649929702656","Catalog Record")</f>
        <v/>
      </c>
      <c r="AT1021">
        <f>HYPERLINK("http://www.worldcat.org/oclc/4493534","WorldCat Record")</f>
        <v/>
      </c>
      <c r="AU1021" t="inlineStr">
        <is>
          <t>1322883:eng</t>
        </is>
      </c>
      <c r="AV1021" t="inlineStr">
        <is>
          <t>4493534</t>
        </is>
      </c>
      <c r="AW1021" t="inlineStr">
        <is>
          <t>991004649929702656</t>
        </is>
      </c>
      <c r="AX1021" t="inlineStr">
        <is>
          <t>991004649929702656</t>
        </is>
      </c>
      <c r="AY1021" t="inlineStr">
        <is>
          <t>2263050460002656</t>
        </is>
      </c>
      <c r="AZ1021" t="inlineStr">
        <is>
          <t>BOOK</t>
        </is>
      </c>
      <c r="BB1021" t="inlineStr">
        <is>
          <t>9780137324200</t>
        </is>
      </c>
      <c r="BC1021" t="inlineStr">
        <is>
          <t>32285001603512</t>
        </is>
      </c>
      <c r="BD1021" t="inlineStr">
        <is>
          <t>893229588</t>
        </is>
      </c>
    </row>
    <row r="1022">
      <c r="A1022" t="inlineStr">
        <is>
          <t>No</t>
        </is>
      </c>
      <c r="B1022" t="inlineStr">
        <is>
          <t>BF721 .P43 1951</t>
        </is>
      </c>
      <c r="C1022" t="inlineStr">
        <is>
          <t>0                      BF 0721000P  43          1951</t>
        </is>
      </c>
      <c r="D1022" t="inlineStr">
        <is>
          <t>The child's conception of physical causality / by Jean Piaget ; translated by Marjorie Gabain.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K1022" t="inlineStr">
        <is>
          <t>Piaget, Jean, 1896-1980.</t>
        </is>
      </c>
      <c r="L1022" t="inlineStr">
        <is>
          <t>New York : Humanities Press ; London : Routledge &amp; Kegan Paul, 1951, c1930.</t>
        </is>
      </c>
      <c r="M1022" t="inlineStr">
        <is>
          <t>1951</t>
        </is>
      </c>
      <c r="O1022" t="inlineStr">
        <is>
          <t>eng</t>
        </is>
      </c>
      <c r="P1022" t="inlineStr">
        <is>
          <t>nyu</t>
        </is>
      </c>
      <c r="Q1022" t="inlineStr">
        <is>
          <t>International library of psychology, philosophy, and scientific method</t>
        </is>
      </c>
      <c r="R1022" t="inlineStr">
        <is>
          <t xml:space="preserve">BF </t>
        </is>
      </c>
      <c r="S1022" t="n">
        <v>5</v>
      </c>
      <c r="T1022" t="n">
        <v>5</v>
      </c>
      <c r="U1022" t="inlineStr">
        <is>
          <t>1999-11-29</t>
        </is>
      </c>
      <c r="V1022" t="inlineStr">
        <is>
          <t>1999-11-29</t>
        </is>
      </c>
      <c r="W1022" t="inlineStr">
        <is>
          <t>1994-02-28</t>
        </is>
      </c>
      <c r="X1022" t="inlineStr">
        <is>
          <t>1994-02-28</t>
        </is>
      </c>
      <c r="Y1022" t="n">
        <v>118</v>
      </c>
      <c r="Z1022" t="n">
        <v>104</v>
      </c>
      <c r="AA1022" t="n">
        <v>380</v>
      </c>
      <c r="AB1022" t="n">
        <v>3</v>
      </c>
      <c r="AC1022" t="n">
        <v>6</v>
      </c>
      <c r="AD1022" t="n">
        <v>5</v>
      </c>
      <c r="AE1022" t="n">
        <v>15</v>
      </c>
      <c r="AF1022" t="n">
        <v>2</v>
      </c>
      <c r="AG1022" t="n">
        <v>5</v>
      </c>
      <c r="AH1022" t="n">
        <v>0</v>
      </c>
      <c r="AI1022" t="n">
        <v>3</v>
      </c>
      <c r="AJ1022" t="n">
        <v>2</v>
      </c>
      <c r="AK1022" t="n">
        <v>7</v>
      </c>
      <c r="AL1022" t="n">
        <v>2</v>
      </c>
      <c r="AM1022" t="n">
        <v>5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HYPERLINK("http://catalog.hathitrust.org/Record/000429764","HathiTrust Record")</f>
        <v/>
      </c>
      <c r="AS1022">
        <f>HYPERLINK("https://creighton-primo.hosted.exlibrisgroup.com/primo-explore/search?tab=default_tab&amp;search_scope=EVERYTHING&amp;vid=01CRU&amp;lang=en_US&amp;offset=0&amp;query=any,contains,991004232469702656","Catalog Record")</f>
        <v/>
      </c>
      <c r="AT1022">
        <f>HYPERLINK("http://www.worldcat.org/oclc/2752288","WorldCat Record")</f>
        <v/>
      </c>
      <c r="AU1022" t="inlineStr">
        <is>
          <t>9490345890:eng</t>
        </is>
      </c>
      <c r="AV1022" t="inlineStr">
        <is>
          <t>2752288</t>
        </is>
      </c>
      <c r="AW1022" t="inlineStr">
        <is>
          <t>991004232469702656</t>
        </is>
      </c>
      <c r="AX1022" t="inlineStr">
        <is>
          <t>991004232469702656</t>
        </is>
      </c>
      <c r="AY1022" t="inlineStr">
        <is>
          <t>2260799040002656</t>
        </is>
      </c>
      <c r="AZ1022" t="inlineStr">
        <is>
          <t>BOOK</t>
        </is>
      </c>
      <c r="BC1022" t="inlineStr">
        <is>
          <t>32285001850659</t>
        </is>
      </c>
      <c r="BD1022" t="inlineStr">
        <is>
          <t>893687507</t>
        </is>
      </c>
    </row>
    <row r="1023">
      <c r="A1023" t="inlineStr">
        <is>
          <t>No</t>
        </is>
      </c>
      <c r="B1023" t="inlineStr">
        <is>
          <t>BF721 .P473 1963</t>
        </is>
      </c>
      <c r="C1023" t="inlineStr">
        <is>
          <t>0                      BF 0721000P  473         1963</t>
        </is>
      </c>
      <c r="D1023" t="inlineStr">
        <is>
          <t>The origins of intelligence in children / Jean Piaget ; translated by Margaret Cook.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K1023" t="inlineStr">
        <is>
          <t>Piaget, Jean, 1896-1980.</t>
        </is>
      </c>
      <c r="L1023" t="inlineStr">
        <is>
          <t>New York : W.W. Norton, 1963.</t>
        </is>
      </c>
      <c r="M1023" t="inlineStr">
        <is>
          <t>1963</t>
        </is>
      </c>
      <c r="O1023" t="inlineStr">
        <is>
          <t>eng</t>
        </is>
      </c>
      <c r="P1023" t="inlineStr">
        <is>
          <t>nyu</t>
        </is>
      </c>
      <c r="Q1023" t="inlineStr">
        <is>
          <t>The Norton Library</t>
        </is>
      </c>
      <c r="R1023" t="inlineStr">
        <is>
          <t xml:space="preserve">BF </t>
        </is>
      </c>
      <c r="S1023" t="n">
        <v>3</v>
      </c>
      <c r="T1023" t="n">
        <v>3</v>
      </c>
      <c r="U1023" t="inlineStr">
        <is>
          <t>1995-03-29</t>
        </is>
      </c>
      <c r="V1023" t="inlineStr">
        <is>
          <t>1995-03-29</t>
        </is>
      </c>
      <c r="W1023" t="inlineStr">
        <is>
          <t>1992-12-16</t>
        </is>
      </c>
      <c r="X1023" t="inlineStr">
        <is>
          <t>1992-12-16</t>
        </is>
      </c>
      <c r="Y1023" t="n">
        <v>543</v>
      </c>
      <c r="Z1023" t="n">
        <v>491</v>
      </c>
      <c r="AA1023" t="n">
        <v>1858</v>
      </c>
      <c r="AB1023" t="n">
        <v>2</v>
      </c>
      <c r="AC1023" t="n">
        <v>12</v>
      </c>
      <c r="AD1023" t="n">
        <v>22</v>
      </c>
      <c r="AE1023" t="n">
        <v>63</v>
      </c>
      <c r="AF1023" t="n">
        <v>8</v>
      </c>
      <c r="AG1023" t="n">
        <v>29</v>
      </c>
      <c r="AH1023" t="n">
        <v>5</v>
      </c>
      <c r="AI1023" t="n">
        <v>11</v>
      </c>
      <c r="AJ1023" t="n">
        <v>13</v>
      </c>
      <c r="AK1023" t="n">
        <v>27</v>
      </c>
      <c r="AL1023" t="n">
        <v>1</v>
      </c>
      <c r="AM1023" t="n">
        <v>9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HYPERLINK("http://catalog.hathitrust.org/Record/102073788","HathiTrust Record")</f>
        <v/>
      </c>
      <c r="AS1023">
        <f>HYPERLINK("https://creighton-primo.hosted.exlibrisgroup.com/primo-explore/search?tab=default_tab&amp;search_scope=EVERYTHING&amp;vid=01CRU&amp;lang=en_US&amp;offset=0&amp;query=any,contains,991003933909702656","Catalog Record")</f>
        <v/>
      </c>
      <c r="AT1023">
        <f>HYPERLINK("http://www.worldcat.org/oclc/1906847","WorldCat Record")</f>
        <v/>
      </c>
      <c r="AU1023" t="inlineStr">
        <is>
          <t>4757753985:eng</t>
        </is>
      </c>
      <c r="AV1023" t="inlineStr">
        <is>
          <t>1906847</t>
        </is>
      </c>
      <c r="AW1023" t="inlineStr">
        <is>
          <t>991003933909702656</t>
        </is>
      </c>
      <c r="AX1023" t="inlineStr">
        <is>
          <t>991003933909702656</t>
        </is>
      </c>
      <c r="AY1023" t="inlineStr">
        <is>
          <t>2257291460002656</t>
        </is>
      </c>
      <c r="AZ1023" t="inlineStr">
        <is>
          <t>BOOK</t>
        </is>
      </c>
      <c r="BC1023" t="inlineStr">
        <is>
          <t>32285001443216</t>
        </is>
      </c>
      <c r="BD1023" t="inlineStr">
        <is>
          <t>893246949</t>
        </is>
      </c>
    </row>
    <row r="1024">
      <c r="A1024" t="inlineStr">
        <is>
          <t>No</t>
        </is>
      </c>
      <c r="B1024" t="inlineStr">
        <is>
          <t>BF721 .P4813</t>
        </is>
      </c>
      <c r="C1024" t="inlineStr">
        <is>
          <t>0                      BF 0721000P  4813</t>
        </is>
      </c>
      <c r="D1024" t="inlineStr">
        <is>
          <t>The psychology of the child [by] Jean Piaget and Bärbel Inhelder. Translated from the French by Helen Weaver.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K1024" t="inlineStr">
        <is>
          <t>Piaget, Jean, 1896-1980.</t>
        </is>
      </c>
      <c r="L1024" t="inlineStr">
        <is>
          <t>New York, Basic Books [1969]</t>
        </is>
      </c>
      <c r="M1024" t="inlineStr">
        <is>
          <t>1969</t>
        </is>
      </c>
      <c r="O1024" t="inlineStr">
        <is>
          <t>eng</t>
        </is>
      </c>
      <c r="P1024" t="inlineStr">
        <is>
          <t>nyu</t>
        </is>
      </c>
      <c r="R1024" t="inlineStr">
        <is>
          <t xml:space="preserve">BF </t>
        </is>
      </c>
      <c r="S1024" t="n">
        <v>2</v>
      </c>
      <c r="T1024" t="n">
        <v>2</v>
      </c>
      <c r="U1024" t="inlineStr">
        <is>
          <t>2002-07-08</t>
        </is>
      </c>
      <c r="V1024" t="inlineStr">
        <is>
          <t>2002-07-08</t>
        </is>
      </c>
      <c r="W1024" t="inlineStr">
        <is>
          <t>1996-08-05</t>
        </is>
      </c>
      <c r="X1024" t="inlineStr">
        <is>
          <t>1996-08-05</t>
        </is>
      </c>
      <c r="Y1024" t="n">
        <v>2016</v>
      </c>
      <c r="Z1024" t="n">
        <v>1830</v>
      </c>
      <c r="AA1024" t="n">
        <v>2055</v>
      </c>
      <c r="AB1024" t="n">
        <v>15</v>
      </c>
      <c r="AC1024" t="n">
        <v>16</v>
      </c>
      <c r="AD1024" t="n">
        <v>60</v>
      </c>
      <c r="AE1024" t="n">
        <v>60</v>
      </c>
      <c r="AF1024" t="n">
        <v>24</v>
      </c>
      <c r="AG1024" t="n">
        <v>24</v>
      </c>
      <c r="AH1024" t="n">
        <v>11</v>
      </c>
      <c r="AI1024" t="n">
        <v>11</v>
      </c>
      <c r="AJ1024" t="n">
        <v>25</v>
      </c>
      <c r="AK1024" t="n">
        <v>25</v>
      </c>
      <c r="AL1024" t="n">
        <v>12</v>
      </c>
      <c r="AM1024" t="n">
        <v>12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HYPERLINK("http://catalog.hathitrust.org/Record/000429168","HathiTrust Record")</f>
        <v/>
      </c>
      <c r="AS1024">
        <f>HYPERLINK("https://creighton-primo.hosted.exlibrisgroup.com/primo-explore/search?tab=default_tab&amp;search_scope=EVERYTHING&amp;vid=01CRU&amp;lang=en_US&amp;offset=0&amp;query=any,contains,991000013859702656","Catalog Record")</f>
        <v/>
      </c>
      <c r="AT1024">
        <f>HYPERLINK("http://www.worldcat.org/oclc/16142","WorldCat Record")</f>
        <v/>
      </c>
      <c r="AU1024" t="inlineStr">
        <is>
          <t>4087434310:eng</t>
        </is>
      </c>
      <c r="AV1024" t="inlineStr">
        <is>
          <t>16142</t>
        </is>
      </c>
      <c r="AW1024" t="inlineStr">
        <is>
          <t>991000013859702656</t>
        </is>
      </c>
      <c r="AX1024" t="inlineStr">
        <is>
          <t>991000013859702656</t>
        </is>
      </c>
      <c r="AY1024" t="inlineStr">
        <is>
          <t>2271577140002656</t>
        </is>
      </c>
      <c r="AZ1024" t="inlineStr">
        <is>
          <t>BOOK</t>
        </is>
      </c>
      <c r="BC1024" t="inlineStr">
        <is>
          <t>32285002255643</t>
        </is>
      </c>
      <c r="BD1024" t="inlineStr">
        <is>
          <t>893595180</t>
        </is>
      </c>
    </row>
    <row r="1025">
      <c r="A1025" t="inlineStr">
        <is>
          <t>No</t>
        </is>
      </c>
      <c r="B1025" t="inlineStr">
        <is>
          <t>BF721 .P5 1967</t>
        </is>
      </c>
      <c r="C1025" t="inlineStr">
        <is>
          <t>0                      BF 0721000P  5           1967</t>
        </is>
      </c>
      <c r="D1025" t="inlineStr">
        <is>
          <t>The child's conception of the world / [Translated by Joan and Andrew Tomlinson]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Yes</t>
        </is>
      </c>
      <c r="J1025" t="inlineStr">
        <is>
          <t>0</t>
        </is>
      </c>
      <c r="K1025" t="inlineStr">
        <is>
          <t>Piaget, Jean, 1896-1980.</t>
        </is>
      </c>
      <c r="L1025" t="inlineStr">
        <is>
          <t>London, : Routledge &amp; Kegan Paul ltd., [1967, c1929]</t>
        </is>
      </c>
      <c r="M1025" t="inlineStr">
        <is>
          <t>1967</t>
        </is>
      </c>
      <c r="O1025" t="inlineStr">
        <is>
          <t>eng</t>
        </is>
      </c>
      <c r="P1025" t="inlineStr">
        <is>
          <t>enk</t>
        </is>
      </c>
      <c r="Q1025" t="inlineStr">
        <is>
          <t>International library of psychology, philosophy, and scientific method</t>
        </is>
      </c>
      <c r="R1025" t="inlineStr">
        <is>
          <t xml:space="preserve">BF </t>
        </is>
      </c>
      <c r="S1025" t="n">
        <v>3</v>
      </c>
      <c r="T1025" t="n">
        <v>3</v>
      </c>
      <c r="U1025" t="inlineStr">
        <is>
          <t>1997-12-16</t>
        </is>
      </c>
      <c r="V1025" t="inlineStr">
        <is>
          <t>1997-12-16</t>
        </is>
      </c>
      <c r="W1025" t="inlineStr">
        <is>
          <t>1996-04-24</t>
        </is>
      </c>
      <c r="X1025" t="inlineStr">
        <is>
          <t>1996-04-24</t>
        </is>
      </c>
      <c r="Y1025" t="n">
        <v>136</v>
      </c>
      <c r="Z1025" t="n">
        <v>120</v>
      </c>
      <c r="AA1025" t="n">
        <v>1593</v>
      </c>
      <c r="AB1025" t="n">
        <v>1</v>
      </c>
      <c r="AC1025" t="n">
        <v>12</v>
      </c>
      <c r="AD1025" t="n">
        <v>2</v>
      </c>
      <c r="AE1025" t="n">
        <v>56</v>
      </c>
      <c r="AF1025" t="n">
        <v>1</v>
      </c>
      <c r="AG1025" t="n">
        <v>22</v>
      </c>
      <c r="AH1025" t="n">
        <v>0</v>
      </c>
      <c r="AI1025" t="n">
        <v>10</v>
      </c>
      <c r="AJ1025" t="n">
        <v>1</v>
      </c>
      <c r="AK1025" t="n">
        <v>27</v>
      </c>
      <c r="AL1025" t="n">
        <v>0</v>
      </c>
      <c r="AM1025" t="n">
        <v>10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No</t>
        </is>
      </c>
      <c r="AS1025">
        <f>HYPERLINK("https://creighton-primo.hosted.exlibrisgroup.com/primo-explore/search?tab=default_tab&amp;search_scope=EVERYTHING&amp;vid=01CRU&amp;lang=en_US&amp;offset=0&amp;query=any,contains,991004428059702656","Catalog Record")</f>
        <v/>
      </c>
      <c r="AT1025">
        <f>HYPERLINK("http://www.worldcat.org/oclc/3411822","WorldCat Record")</f>
        <v/>
      </c>
      <c r="AU1025" t="inlineStr">
        <is>
          <t>48611464:eng</t>
        </is>
      </c>
      <c r="AV1025" t="inlineStr">
        <is>
          <t>3411822</t>
        </is>
      </c>
      <c r="AW1025" t="inlineStr">
        <is>
          <t>991004428059702656</t>
        </is>
      </c>
      <c r="AX1025" t="inlineStr">
        <is>
          <t>991004428059702656</t>
        </is>
      </c>
      <c r="AY1025" t="inlineStr">
        <is>
          <t>2268480350002656</t>
        </is>
      </c>
      <c r="AZ1025" t="inlineStr">
        <is>
          <t>BOOK</t>
        </is>
      </c>
      <c r="BC1025" t="inlineStr">
        <is>
          <t>32285002160223</t>
        </is>
      </c>
      <c r="BD1025" t="inlineStr">
        <is>
          <t>893807062</t>
        </is>
      </c>
    </row>
    <row r="1026">
      <c r="A1026" t="inlineStr">
        <is>
          <t>No</t>
        </is>
      </c>
      <c r="B1026" t="inlineStr">
        <is>
          <t>BF721 .P588</t>
        </is>
      </c>
      <c r="C1026" t="inlineStr">
        <is>
          <t>0                      BF 0721000P  588</t>
        </is>
      </c>
      <c r="D1026" t="inlineStr">
        <is>
          <t>The growing child in contemporary society [by] Marie B. Pollard [and] Barbara Geoghegan.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Pollard, Marie B.</t>
        </is>
      </c>
      <c r="L1026" t="inlineStr">
        <is>
          <t>Milwaukee, Bruce Pub. Co. [1969]</t>
        </is>
      </c>
      <c r="M1026" t="inlineStr">
        <is>
          <t>1969</t>
        </is>
      </c>
      <c r="O1026" t="inlineStr">
        <is>
          <t>eng</t>
        </is>
      </c>
      <c r="P1026" t="inlineStr">
        <is>
          <t>wiu</t>
        </is>
      </c>
      <c r="R1026" t="inlineStr">
        <is>
          <t xml:space="preserve">BF </t>
        </is>
      </c>
      <c r="S1026" t="n">
        <v>1</v>
      </c>
      <c r="T1026" t="n">
        <v>1</v>
      </c>
      <c r="U1026" t="inlineStr">
        <is>
          <t>2010-04-21</t>
        </is>
      </c>
      <c r="V1026" t="inlineStr">
        <is>
          <t>2010-04-21</t>
        </is>
      </c>
      <c r="W1026" t="inlineStr">
        <is>
          <t>1996-08-05</t>
        </is>
      </c>
      <c r="X1026" t="inlineStr">
        <is>
          <t>1996-08-05</t>
        </is>
      </c>
      <c r="Y1026" t="n">
        <v>183</v>
      </c>
      <c r="Z1026" t="n">
        <v>157</v>
      </c>
      <c r="AA1026" t="n">
        <v>159</v>
      </c>
      <c r="AB1026" t="n">
        <v>2</v>
      </c>
      <c r="AC1026" t="n">
        <v>2</v>
      </c>
      <c r="AD1026" t="n">
        <v>6</v>
      </c>
      <c r="AE1026" t="n">
        <v>6</v>
      </c>
      <c r="AF1026" t="n">
        <v>2</v>
      </c>
      <c r="AG1026" t="n">
        <v>2</v>
      </c>
      <c r="AH1026" t="n">
        <v>1</v>
      </c>
      <c r="AI1026" t="n">
        <v>1</v>
      </c>
      <c r="AJ1026" t="n">
        <v>3</v>
      </c>
      <c r="AK1026" t="n">
        <v>3</v>
      </c>
      <c r="AL1026" t="n">
        <v>1</v>
      </c>
      <c r="AM1026" t="n">
        <v>1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Yes</t>
        </is>
      </c>
      <c r="AR1026">
        <f>HYPERLINK("http://catalog.hathitrust.org/Record/000429877","HathiTrust Record")</f>
        <v/>
      </c>
      <c r="AS1026">
        <f>HYPERLINK("https://creighton-primo.hosted.exlibrisgroup.com/primo-explore/search?tab=default_tab&amp;search_scope=EVERYTHING&amp;vid=01CRU&amp;lang=en_US&amp;offset=0&amp;query=any,contains,991002239039702656","Catalog Record")</f>
        <v/>
      </c>
      <c r="AT1026">
        <f>HYPERLINK("http://www.worldcat.org/oclc/296807","WorldCat Record")</f>
        <v/>
      </c>
      <c r="AU1026" t="inlineStr">
        <is>
          <t>1496313:eng</t>
        </is>
      </c>
      <c r="AV1026" t="inlineStr">
        <is>
          <t>296807</t>
        </is>
      </c>
      <c r="AW1026" t="inlineStr">
        <is>
          <t>991002239039702656</t>
        </is>
      </c>
      <c r="AX1026" t="inlineStr">
        <is>
          <t>991002239039702656</t>
        </is>
      </c>
      <c r="AY1026" t="inlineStr">
        <is>
          <t>2262748650002656</t>
        </is>
      </c>
      <c r="AZ1026" t="inlineStr">
        <is>
          <t>BOOK</t>
        </is>
      </c>
      <c r="BC1026" t="inlineStr">
        <is>
          <t>32285002255650</t>
        </is>
      </c>
      <c r="BD1026" t="inlineStr">
        <is>
          <t>893529729</t>
        </is>
      </c>
    </row>
    <row r="1027">
      <c r="A1027" t="inlineStr">
        <is>
          <t>No</t>
        </is>
      </c>
      <c r="B1027" t="inlineStr">
        <is>
          <t>BF721 .R345 1970</t>
        </is>
      </c>
      <c r="C1027" t="inlineStr">
        <is>
          <t>0                      BF 0721000R  345         1970</t>
        </is>
      </c>
      <c r="D1027" t="inlineStr">
        <is>
          <t>Child development and behavior. Readings edited by Freda Rebelsky and Lynn Dorman.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Rebelsky, Freda, 1931- compiler.</t>
        </is>
      </c>
      <c r="L1027" t="inlineStr">
        <is>
          <t>New York, Knopf [1970]</t>
        </is>
      </c>
      <c r="M1027" t="inlineStr">
        <is>
          <t>1970</t>
        </is>
      </c>
      <c r="O1027" t="inlineStr">
        <is>
          <t>eng</t>
        </is>
      </c>
      <c r="P1027" t="inlineStr">
        <is>
          <t>nyu</t>
        </is>
      </c>
      <c r="R1027" t="inlineStr">
        <is>
          <t xml:space="preserve">BF </t>
        </is>
      </c>
      <c r="S1027" t="n">
        <v>7</v>
      </c>
      <c r="T1027" t="n">
        <v>7</v>
      </c>
      <c r="U1027" t="inlineStr">
        <is>
          <t>1997-03-06</t>
        </is>
      </c>
      <c r="V1027" t="inlineStr">
        <is>
          <t>1997-03-06</t>
        </is>
      </c>
      <c r="W1027" t="inlineStr">
        <is>
          <t>1992-04-22</t>
        </is>
      </c>
      <c r="X1027" t="inlineStr">
        <is>
          <t>1992-04-22</t>
        </is>
      </c>
      <c r="Y1027" t="n">
        <v>449</v>
      </c>
      <c r="Z1027" t="n">
        <v>367</v>
      </c>
      <c r="AA1027" t="n">
        <v>570</v>
      </c>
      <c r="AB1027" t="n">
        <v>4</v>
      </c>
      <c r="AC1027" t="n">
        <v>4</v>
      </c>
      <c r="AD1027" t="n">
        <v>19</v>
      </c>
      <c r="AE1027" t="n">
        <v>25</v>
      </c>
      <c r="AF1027" t="n">
        <v>7</v>
      </c>
      <c r="AG1027" t="n">
        <v>10</v>
      </c>
      <c r="AH1027" t="n">
        <v>4</v>
      </c>
      <c r="AI1027" t="n">
        <v>7</v>
      </c>
      <c r="AJ1027" t="n">
        <v>9</v>
      </c>
      <c r="AK1027" t="n">
        <v>11</v>
      </c>
      <c r="AL1027" t="n">
        <v>3</v>
      </c>
      <c r="AM1027" t="n">
        <v>3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HYPERLINK("http://catalog.hathitrust.org/Record/000429892","HathiTrust Record")</f>
        <v/>
      </c>
      <c r="AS1027">
        <f>HYPERLINK("https://creighton-primo.hosted.exlibrisgroup.com/primo-explore/search?tab=default_tab&amp;search_scope=EVERYTHING&amp;vid=01CRU&amp;lang=en_US&amp;offset=0&amp;query=any,contains,991000550579702656","Catalog Record")</f>
        <v/>
      </c>
      <c r="AT1027">
        <f>HYPERLINK("http://www.worldcat.org/oclc/92562","WorldCat Record")</f>
        <v/>
      </c>
      <c r="AU1027" t="inlineStr">
        <is>
          <t>1306388:eng</t>
        </is>
      </c>
      <c r="AV1027" t="inlineStr">
        <is>
          <t>92562</t>
        </is>
      </c>
      <c r="AW1027" t="inlineStr">
        <is>
          <t>991000550579702656</t>
        </is>
      </c>
      <c r="AX1027" t="inlineStr">
        <is>
          <t>991000550579702656</t>
        </is>
      </c>
      <c r="AY1027" t="inlineStr">
        <is>
          <t>2262612010002656</t>
        </is>
      </c>
      <c r="AZ1027" t="inlineStr">
        <is>
          <t>BOOK</t>
        </is>
      </c>
      <c r="BC1027" t="inlineStr">
        <is>
          <t>32285001054450</t>
        </is>
      </c>
      <c r="BD1027" t="inlineStr">
        <is>
          <t>893237413</t>
        </is>
      </c>
    </row>
    <row r="1028">
      <c r="A1028" t="inlineStr">
        <is>
          <t>No</t>
        </is>
      </c>
      <c r="B1028" t="inlineStr">
        <is>
          <t>BF721 .R513 1982</t>
        </is>
      </c>
      <c r="C1028" t="inlineStr">
        <is>
          <t>0                      BF 0721000R  513         1982</t>
        </is>
      </c>
      <c r="D1028" t="inlineStr">
        <is>
          <t>Pre-school to school : a behavioural study / N. Richman, J. Stevenson, P.J. Graham.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Richman, Naomi.</t>
        </is>
      </c>
      <c r="L1028" t="inlineStr">
        <is>
          <t>London ; New York : Academic Press, 1982.</t>
        </is>
      </c>
      <c r="M1028" t="inlineStr">
        <is>
          <t>1982</t>
        </is>
      </c>
      <c r="O1028" t="inlineStr">
        <is>
          <t>eng</t>
        </is>
      </c>
      <c r="P1028" t="inlineStr">
        <is>
          <t>enk</t>
        </is>
      </c>
      <c r="Q1028" t="inlineStr">
        <is>
          <t>Behavioural development</t>
        </is>
      </c>
      <c r="R1028" t="inlineStr">
        <is>
          <t xml:space="preserve">BF </t>
        </is>
      </c>
      <c r="S1028" t="n">
        <v>2</v>
      </c>
      <c r="T1028" t="n">
        <v>2</v>
      </c>
      <c r="U1028" t="inlineStr">
        <is>
          <t>1997-03-16</t>
        </is>
      </c>
      <c r="V1028" t="inlineStr">
        <is>
          <t>1997-03-16</t>
        </is>
      </c>
      <c r="W1028" t="inlineStr">
        <is>
          <t>1993-04-06</t>
        </is>
      </c>
      <c r="X1028" t="inlineStr">
        <is>
          <t>1993-04-06</t>
        </is>
      </c>
      <c r="Y1028" t="n">
        <v>368</v>
      </c>
      <c r="Z1028" t="n">
        <v>235</v>
      </c>
      <c r="AA1028" t="n">
        <v>237</v>
      </c>
      <c r="AB1028" t="n">
        <v>3</v>
      </c>
      <c r="AC1028" t="n">
        <v>3</v>
      </c>
      <c r="AD1028" t="n">
        <v>10</v>
      </c>
      <c r="AE1028" t="n">
        <v>10</v>
      </c>
      <c r="AF1028" t="n">
        <v>1</v>
      </c>
      <c r="AG1028" t="n">
        <v>1</v>
      </c>
      <c r="AH1028" t="n">
        <v>4</v>
      </c>
      <c r="AI1028" t="n">
        <v>4</v>
      </c>
      <c r="AJ1028" t="n">
        <v>5</v>
      </c>
      <c r="AK1028" t="n">
        <v>5</v>
      </c>
      <c r="AL1028" t="n">
        <v>2</v>
      </c>
      <c r="AM1028" t="n">
        <v>2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HYPERLINK("http://catalog.hathitrust.org/Record/000193252","HathiTrust Record")</f>
        <v/>
      </c>
      <c r="AS1028">
        <f>HYPERLINK("https://creighton-primo.hosted.exlibrisgroup.com/primo-explore/search?tab=default_tab&amp;search_scope=EVERYTHING&amp;vid=01CRU&amp;lang=en_US&amp;offset=0&amp;query=any,contains,991000114999702656","Catalog Record")</f>
        <v/>
      </c>
      <c r="AT1028">
        <f>HYPERLINK("http://www.worldcat.org/oclc/9031991","WorldCat Record")</f>
        <v/>
      </c>
      <c r="AU1028" t="inlineStr">
        <is>
          <t>309016870:eng</t>
        </is>
      </c>
      <c r="AV1028" t="inlineStr">
        <is>
          <t>9031991</t>
        </is>
      </c>
      <c r="AW1028" t="inlineStr">
        <is>
          <t>991000114999702656</t>
        </is>
      </c>
      <c r="AX1028" t="inlineStr">
        <is>
          <t>991000114999702656</t>
        </is>
      </c>
      <c r="AY1028" t="inlineStr">
        <is>
          <t>2266642520002656</t>
        </is>
      </c>
      <c r="AZ1028" t="inlineStr">
        <is>
          <t>BOOK</t>
        </is>
      </c>
      <c r="BB1028" t="inlineStr">
        <is>
          <t>9780125879408</t>
        </is>
      </c>
      <c r="BC1028" t="inlineStr">
        <is>
          <t>32285001603561</t>
        </is>
      </c>
      <c r="BD1028" t="inlineStr">
        <is>
          <t>893419217</t>
        </is>
      </c>
    </row>
    <row r="1029">
      <c r="A1029" t="inlineStr">
        <is>
          <t>No</t>
        </is>
      </c>
      <c r="B1029" t="inlineStr">
        <is>
          <t>BF721 .R613</t>
        </is>
      </c>
      <c r="C1029" t="inlineStr">
        <is>
          <t>0                      BF 0721000R  613</t>
        </is>
      </c>
      <c r="D1029" t="inlineStr">
        <is>
          <t>Infants and children : their development and learning / Mildred C. Robeck.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Robeck, Mildred Coen, 1915-</t>
        </is>
      </c>
      <c r="L1029" t="inlineStr">
        <is>
          <t>New York : McGraw-Hill, c1978.</t>
        </is>
      </c>
      <c r="M1029" t="inlineStr">
        <is>
          <t>1978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BF </t>
        </is>
      </c>
      <c r="S1029" t="n">
        <v>5</v>
      </c>
      <c r="T1029" t="n">
        <v>5</v>
      </c>
      <c r="U1029" t="inlineStr">
        <is>
          <t>2003-11-17</t>
        </is>
      </c>
      <c r="V1029" t="inlineStr">
        <is>
          <t>2003-11-17</t>
        </is>
      </c>
      <c r="W1029" t="inlineStr">
        <is>
          <t>1996-08-05</t>
        </is>
      </c>
      <c r="X1029" t="inlineStr">
        <is>
          <t>1996-08-05</t>
        </is>
      </c>
      <c r="Y1029" t="n">
        <v>358</v>
      </c>
      <c r="Z1029" t="n">
        <v>271</v>
      </c>
      <c r="AA1029" t="n">
        <v>277</v>
      </c>
      <c r="AB1029" t="n">
        <v>3</v>
      </c>
      <c r="AC1029" t="n">
        <v>3</v>
      </c>
      <c r="AD1029" t="n">
        <v>11</v>
      </c>
      <c r="AE1029" t="n">
        <v>11</v>
      </c>
      <c r="AF1029" t="n">
        <v>4</v>
      </c>
      <c r="AG1029" t="n">
        <v>4</v>
      </c>
      <c r="AH1029" t="n">
        <v>0</v>
      </c>
      <c r="AI1029" t="n">
        <v>0</v>
      </c>
      <c r="AJ1029" t="n">
        <v>7</v>
      </c>
      <c r="AK1029" t="n">
        <v>7</v>
      </c>
      <c r="AL1029" t="n">
        <v>2</v>
      </c>
      <c r="AM1029" t="n">
        <v>2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No</t>
        </is>
      </c>
      <c r="AS1029">
        <f>HYPERLINK("https://creighton-primo.hosted.exlibrisgroup.com/primo-explore/search?tab=default_tab&amp;search_scope=EVERYTHING&amp;vid=01CRU&amp;lang=en_US&amp;offset=0&amp;query=any,contains,991004451919702656","Catalog Record")</f>
        <v/>
      </c>
      <c r="AT1029">
        <f>HYPERLINK("http://www.worldcat.org/oclc/3516364","WorldCat Record")</f>
        <v/>
      </c>
      <c r="AU1029" t="inlineStr">
        <is>
          <t>10692838:eng</t>
        </is>
      </c>
      <c r="AV1029" t="inlineStr">
        <is>
          <t>3516364</t>
        </is>
      </c>
      <c r="AW1029" t="inlineStr">
        <is>
          <t>991004451919702656</t>
        </is>
      </c>
      <c r="AX1029" t="inlineStr">
        <is>
          <t>991004451919702656</t>
        </is>
      </c>
      <c r="AY1029" t="inlineStr">
        <is>
          <t>2272384850002656</t>
        </is>
      </c>
      <c r="AZ1029" t="inlineStr">
        <is>
          <t>BOOK</t>
        </is>
      </c>
      <c r="BB1029" t="inlineStr">
        <is>
          <t>9780070531086</t>
        </is>
      </c>
      <c r="BC1029" t="inlineStr">
        <is>
          <t>32285002255700</t>
        </is>
      </c>
      <c r="BD1029" t="inlineStr">
        <is>
          <t>893411558</t>
        </is>
      </c>
    </row>
    <row r="1030">
      <c r="A1030" t="inlineStr">
        <is>
          <t>No</t>
        </is>
      </c>
      <c r="B1030" t="inlineStr">
        <is>
          <t>BF721 .R68 1973</t>
        </is>
      </c>
      <c r="C1030" t="inlineStr">
        <is>
          <t>0                      BF 0721000R  68          1973</t>
        </is>
      </c>
      <c r="D1030" t="inlineStr">
        <is>
          <t>The children we see; an observational approach to child study. With a foreword by E. Paul Torrance.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Rowen, Betty.</t>
        </is>
      </c>
      <c r="L1030" t="inlineStr">
        <is>
          <t>New York, Holt, Rinehart and Winston [1973]</t>
        </is>
      </c>
      <c r="M1030" t="inlineStr">
        <is>
          <t>1973</t>
        </is>
      </c>
      <c r="O1030" t="inlineStr">
        <is>
          <t>eng</t>
        </is>
      </c>
      <c r="P1030" t="inlineStr">
        <is>
          <t>nyu</t>
        </is>
      </c>
      <c r="R1030" t="inlineStr">
        <is>
          <t xml:space="preserve">BF </t>
        </is>
      </c>
      <c r="S1030" t="n">
        <v>1</v>
      </c>
      <c r="T1030" t="n">
        <v>1</v>
      </c>
      <c r="U1030" t="inlineStr">
        <is>
          <t>1998-10-27</t>
        </is>
      </c>
      <c r="V1030" t="inlineStr">
        <is>
          <t>1998-10-27</t>
        </is>
      </c>
      <c r="W1030" t="inlineStr">
        <is>
          <t>1996-08-05</t>
        </is>
      </c>
      <c r="X1030" t="inlineStr">
        <is>
          <t>1996-08-05</t>
        </is>
      </c>
      <c r="Y1030" t="n">
        <v>474</v>
      </c>
      <c r="Z1030" t="n">
        <v>376</v>
      </c>
      <c r="AA1030" t="n">
        <v>382</v>
      </c>
      <c r="AB1030" t="n">
        <v>5</v>
      </c>
      <c r="AC1030" t="n">
        <v>5</v>
      </c>
      <c r="AD1030" t="n">
        <v>17</v>
      </c>
      <c r="AE1030" t="n">
        <v>17</v>
      </c>
      <c r="AF1030" t="n">
        <v>4</v>
      </c>
      <c r="AG1030" t="n">
        <v>4</v>
      </c>
      <c r="AH1030" t="n">
        <v>3</v>
      </c>
      <c r="AI1030" t="n">
        <v>3</v>
      </c>
      <c r="AJ1030" t="n">
        <v>8</v>
      </c>
      <c r="AK1030" t="n">
        <v>8</v>
      </c>
      <c r="AL1030" t="n">
        <v>4</v>
      </c>
      <c r="AM1030" t="n">
        <v>4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No</t>
        </is>
      </c>
      <c r="AS1030">
        <f>HYPERLINK("https://creighton-primo.hosted.exlibrisgroup.com/primo-explore/search?tab=default_tab&amp;search_scope=EVERYTHING&amp;vid=01CRU&amp;lang=en_US&amp;offset=0&amp;query=any,contains,991003089839702656","Catalog Record")</f>
        <v/>
      </c>
      <c r="AT1030">
        <f>HYPERLINK("http://www.worldcat.org/oclc/640236","WorldCat Record")</f>
        <v/>
      </c>
      <c r="AU1030" t="inlineStr">
        <is>
          <t>248015596:eng</t>
        </is>
      </c>
      <c r="AV1030" t="inlineStr">
        <is>
          <t>640236</t>
        </is>
      </c>
      <c r="AW1030" t="inlineStr">
        <is>
          <t>991003089839702656</t>
        </is>
      </c>
      <c r="AX1030" t="inlineStr">
        <is>
          <t>991003089839702656</t>
        </is>
      </c>
      <c r="AY1030" t="inlineStr">
        <is>
          <t>2263297770002656</t>
        </is>
      </c>
      <c r="AZ1030" t="inlineStr">
        <is>
          <t>BOOK</t>
        </is>
      </c>
      <c r="BB1030" t="inlineStr">
        <is>
          <t>9780030881015</t>
        </is>
      </c>
      <c r="BC1030" t="inlineStr">
        <is>
          <t>32285002255726</t>
        </is>
      </c>
      <c r="BD1030" t="inlineStr">
        <is>
          <t>893239874</t>
        </is>
      </c>
    </row>
    <row r="1031">
      <c r="A1031" t="inlineStr">
        <is>
          <t>No</t>
        </is>
      </c>
      <c r="B1031" t="inlineStr">
        <is>
          <t>BF721 .R8</t>
        </is>
      </c>
      <c r="C1031" t="inlineStr">
        <is>
          <t>0                      BF 0721000R  8</t>
        </is>
      </c>
      <c r="D1031" t="inlineStr">
        <is>
          <t>Children's thinking.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K1031" t="inlineStr">
        <is>
          <t>Russell, David H., 1906-1965.</t>
        </is>
      </c>
      <c r="L1031" t="inlineStr">
        <is>
          <t>Boston : Ginn, [1956]</t>
        </is>
      </c>
      <c r="M1031" t="inlineStr">
        <is>
          <t>1956</t>
        </is>
      </c>
      <c r="O1031" t="inlineStr">
        <is>
          <t>eng</t>
        </is>
      </c>
      <c r="P1031" t="inlineStr">
        <is>
          <t>mau</t>
        </is>
      </c>
      <c r="R1031" t="inlineStr">
        <is>
          <t xml:space="preserve">BF </t>
        </is>
      </c>
      <c r="S1031" t="n">
        <v>1</v>
      </c>
      <c r="T1031" t="n">
        <v>1</v>
      </c>
      <c r="U1031" t="inlineStr">
        <is>
          <t>1998-10-05</t>
        </is>
      </c>
      <c r="V1031" t="inlineStr">
        <is>
          <t>1998-10-05</t>
        </is>
      </c>
      <c r="W1031" t="inlineStr">
        <is>
          <t>1996-08-05</t>
        </is>
      </c>
      <c r="X1031" t="inlineStr">
        <is>
          <t>1996-08-05</t>
        </is>
      </c>
      <c r="Y1031" t="n">
        <v>646</v>
      </c>
      <c r="Z1031" t="n">
        <v>559</v>
      </c>
      <c r="AA1031" t="n">
        <v>619</v>
      </c>
      <c r="AB1031" t="n">
        <v>5</v>
      </c>
      <c r="AC1031" t="n">
        <v>5</v>
      </c>
      <c r="AD1031" t="n">
        <v>22</v>
      </c>
      <c r="AE1031" t="n">
        <v>26</v>
      </c>
      <c r="AF1031" t="n">
        <v>8</v>
      </c>
      <c r="AG1031" t="n">
        <v>10</v>
      </c>
      <c r="AH1031" t="n">
        <v>6</v>
      </c>
      <c r="AI1031" t="n">
        <v>7</v>
      </c>
      <c r="AJ1031" t="n">
        <v>10</v>
      </c>
      <c r="AK1031" t="n">
        <v>11</v>
      </c>
      <c r="AL1031" t="n">
        <v>3</v>
      </c>
      <c r="AM1031" t="n">
        <v>3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HYPERLINK("http://catalog.hathitrust.org/Record/000430141","HathiTrust Record")</f>
        <v/>
      </c>
      <c r="AS1031">
        <f>HYPERLINK("https://creighton-primo.hosted.exlibrisgroup.com/primo-explore/search?tab=default_tab&amp;search_scope=EVERYTHING&amp;vid=01CRU&amp;lang=en_US&amp;offset=0&amp;query=any,contains,991003749629702656","Catalog Record")</f>
        <v/>
      </c>
      <c r="AT1031">
        <f>HYPERLINK("http://www.worldcat.org/oclc/1424034","WorldCat Record")</f>
        <v/>
      </c>
      <c r="AU1031" t="inlineStr">
        <is>
          <t>3855340144:eng</t>
        </is>
      </c>
      <c r="AV1031" t="inlineStr">
        <is>
          <t>1424034</t>
        </is>
      </c>
      <c r="AW1031" t="inlineStr">
        <is>
          <t>991003749629702656</t>
        </is>
      </c>
      <c r="AX1031" t="inlineStr">
        <is>
          <t>991003749629702656</t>
        </is>
      </c>
      <c r="AY1031" t="inlineStr">
        <is>
          <t>2271987300002656</t>
        </is>
      </c>
      <c r="AZ1031" t="inlineStr">
        <is>
          <t>BOOK</t>
        </is>
      </c>
      <c r="BC1031" t="inlineStr">
        <is>
          <t>32285002255734</t>
        </is>
      </c>
      <c r="BD1031" t="inlineStr">
        <is>
          <t>893894075</t>
        </is>
      </c>
    </row>
    <row r="1032">
      <c r="A1032" t="inlineStr">
        <is>
          <t>No</t>
        </is>
      </c>
      <c r="B1032" t="inlineStr">
        <is>
          <t>BF721 .S446</t>
        </is>
      </c>
      <c r="C1032" t="inlineStr">
        <is>
          <t>0                      BF 0721000S  446</t>
        </is>
      </c>
      <c r="D1032" t="inlineStr">
        <is>
          <t>Child development: the human, cultural, and educational context [by] W. H. O. Schmidt.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Schmidt, Wilfred H. O.</t>
        </is>
      </c>
      <c r="L1032" t="inlineStr">
        <is>
          <t>New York, Harper &amp; Row [1973]</t>
        </is>
      </c>
      <c r="M1032" t="inlineStr">
        <is>
          <t>1973</t>
        </is>
      </c>
      <c r="O1032" t="inlineStr">
        <is>
          <t>eng</t>
        </is>
      </c>
      <c r="P1032" t="inlineStr">
        <is>
          <t>nyu</t>
        </is>
      </c>
      <c r="R1032" t="inlineStr">
        <is>
          <t xml:space="preserve">BF </t>
        </is>
      </c>
      <c r="S1032" t="n">
        <v>2</v>
      </c>
      <c r="T1032" t="n">
        <v>2</v>
      </c>
      <c r="U1032" t="inlineStr">
        <is>
          <t>1997-11-23</t>
        </is>
      </c>
      <c r="V1032" t="inlineStr">
        <is>
          <t>1997-11-23</t>
        </is>
      </c>
      <c r="W1032" t="inlineStr">
        <is>
          <t>1996-08-05</t>
        </is>
      </c>
      <c r="X1032" t="inlineStr">
        <is>
          <t>1996-08-05</t>
        </is>
      </c>
      <c r="Y1032" t="n">
        <v>367</v>
      </c>
      <c r="Z1032" t="n">
        <v>223</v>
      </c>
      <c r="AA1032" t="n">
        <v>225</v>
      </c>
      <c r="AB1032" t="n">
        <v>2</v>
      </c>
      <c r="AC1032" t="n">
        <v>2</v>
      </c>
      <c r="AD1032" t="n">
        <v>6</v>
      </c>
      <c r="AE1032" t="n">
        <v>6</v>
      </c>
      <c r="AF1032" t="n">
        <v>2</v>
      </c>
      <c r="AG1032" t="n">
        <v>2</v>
      </c>
      <c r="AH1032" t="n">
        <v>2</v>
      </c>
      <c r="AI1032" t="n">
        <v>2</v>
      </c>
      <c r="AJ1032" t="n">
        <v>2</v>
      </c>
      <c r="AK1032" t="n">
        <v>2</v>
      </c>
      <c r="AL1032" t="n">
        <v>1</v>
      </c>
      <c r="AM1032" t="n">
        <v>1</v>
      </c>
      <c r="AN1032" t="n">
        <v>0</v>
      </c>
      <c r="AO1032" t="n">
        <v>0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HYPERLINK("http://catalog.hathitrust.org/Record/000761281","HathiTrust Record")</f>
        <v/>
      </c>
      <c r="AS1032">
        <f>HYPERLINK("https://creighton-primo.hosted.exlibrisgroup.com/primo-explore/search?tab=default_tab&amp;search_scope=EVERYTHING&amp;vid=01CRU&amp;lang=en_US&amp;offset=0&amp;query=any,contains,991003075349702656","Catalog Record")</f>
        <v/>
      </c>
      <c r="AT1032">
        <f>HYPERLINK("http://www.worldcat.org/oclc/628297","WorldCat Record")</f>
        <v/>
      </c>
      <c r="AU1032" t="inlineStr">
        <is>
          <t>196535974:eng</t>
        </is>
      </c>
      <c r="AV1032" t="inlineStr">
        <is>
          <t>628297</t>
        </is>
      </c>
      <c r="AW1032" t="inlineStr">
        <is>
          <t>991003075349702656</t>
        </is>
      </c>
      <c r="AX1032" t="inlineStr">
        <is>
          <t>991003075349702656</t>
        </is>
      </c>
      <c r="AY1032" t="inlineStr">
        <is>
          <t>2269510100002656</t>
        </is>
      </c>
      <c r="AZ1032" t="inlineStr">
        <is>
          <t>BOOK</t>
        </is>
      </c>
      <c r="BB1032" t="inlineStr">
        <is>
          <t>9780060457815</t>
        </is>
      </c>
      <c r="BC1032" t="inlineStr">
        <is>
          <t>32285002255759</t>
        </is>
      </c>
      <c r="BD1032" t="inlineStr">
        <is>
          <t>893805393</t>
        </is>
      </c>
    </row>
    <row r="1033">
      <c r="A1033" t="inlineStr">
        <is>
          <t>No</t>
        </is>
      </c>
      <c r="B1033" t="inlineStr">
        <is>
          <t>BF721 .S494</t>
        </is>
      </c>
      <c r="C1033" t="inlineStr">
        <is>
          <t>0                      BF 0721000S  494</t>
        </is>
      </c>
      <c r="D1033" t="inlineStr">
        <is>
          <t>Child behavior : learning and development / William C. Sheppard, Robert H. Willoughby.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Sheppard, William C.</t>
        </is>
      </c>
      <c r="L1033" t="inlineStr">
        <is>
          <t>Chicago : Rand McNally College Pub. Co., [1975]</t>
        </is>
      </c>
      <c r="M1033" t="inlineStr">
        <is>
          <t>1975</t>
        </is>
      </c>
      <c r="O1033" t="inlineStr">
        <is>
          <t>eng</t>
        </is>
      </c>
      <c r="P1033" t="inlineStr">
        <is>
          <t>ilu</t>
        </is>
      </c>
      <c r="R1033" t="inlineStr">
        <is>
          <t xml:space="preserve">BF </t>
        </is>
      </c>
      <c r="S1033" t="n">
        <v>8</v>
      </c>
      <c r="T1033" t="n">
        <v>8</v>
      </c>
      <c r="U1033" t="inlineStr">
        <is>
          <t>1998-01-20</t>
        </is>
      </c>
      <c r="V1033" t="inlineStr">
        <is>
          <t>1998-01-20</t>
        </is>
      </c>
      <c r="W1033" t="inlineStr">
        <is>
          <t>1991-02-04</t>
        </is>
      </c>
      <c r="X1033" t="inlineStr">
        <is>
          <t>1991-02-04</t>
        </is>
      </c>
      <c r="Y1033" t="n">
        <v>298</v>
      </c>
      <c r="Z1033" t="n">
        <v>213</v>
      </c>
      <c r="AA1033" t="n">
        <v>216</v>
      </c>
      <c r="AB1033" t="n">
        <v>1</v>
      </c>
      <c r="AC1033" t="n">
        <v>1</v>
      </c>
      <c r="AD1033" t="n">
        <v>8</v>
      </c>
      <c r="AE1033" t="n">
        <v>8</v>
      </c>
      <c r="AF1033" t="n">
        <v>2</v>
      </c>
      <c r="AG1033" t="n">
        <v>2</v>
      </c>
      <c r="AH1033" t="n">
        <v>3</v>
      </c>
      <c r="AI1033" t="n">
        <v>3</v>
      </c>
      <c r="AJ1033" t="n">
        <v>4</v>
      </c>
      <c r="AK1033" t="n">
        <v>4</v>
      </c>
      <c r="AL1033" t="n">
        <v>0</v>
      </c>
      <c r="AM1033" t="n">
        <v>0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HYPERLINK("http://catalog.hathitrust.org/Record/000044727","HathiTrust Record")</f>
        <v/>
      </c>
      <c r="AS1033">
        <f>HYPERLINK("https://creighton-primo.hosted.exlibrisgroup.com/primo-explore/search?tab=default_tab&amp;search_scope=EVERYTHING&amp;vid=01CRU&amp;lang=en_US&amp;offset=0&amp;query=any,contains,991003800489702656","Catalog Record")</f>
        <v/>
      </c>
      <c r="AT1033">
        <f>HYPERLINK("http://www.worldcat.org/oclc/1527251","WorldCat Record")</f>
        <v/>
      </c>
      <c r="AU1033" t="inlineStr">
        <is>
          <t>309417354:eng</t>
        </is>
      </c>
      <c r="AV1033" t="inlineStr">
        <is>
          <t>1527251</t>
        </is>
      </c>
      <c r="AW1033" t="inlineStr">
        <is>
          <t>991003800489702656</t>
        </is>
      </c>
      <c r="AX1033" t="inlineStr">
        <is>
          <t>991003800489702656</t>
        </is>
      </c>
      <c r="AY1033" t="inlineStr">
        <is>
          <t>2258082210002656</t>
        </is>
      </c>
      <c r="AZ1033" t="inlineStr">
        <is>
          <t>BOOK</t>
        </is>
      </c>
      <c r="BB1033" t="inlineStr">
        <is>
          <t>9780528620287</t>
        </is>
      </c>
      <c r="BC1033" t="inlineStr">
        <is>
          <t>32285000470947</t>
        </is>
      </c>
      <c r="BD1033" t="inlineStr">
        <is>
          <t>893518883</t>
        </is>
      </c>
    </row>
    <row r="1034">
      <c r="A1034" t="inlineStr">
        <is>
          <t>No</t>
        </is>
      </c>
      <c r="B1034" t="inlineStr">
        <is>
          <t>BF721 .S5713 1973</t>
        </is>
      </c>
      <c r="C1034" t="inlineStr">
        <is>
          <t>0                      BF 0721000S  5713        1973</t>
        </is>
      </c>
      <c r="D1034" t="inlineStr">
        <is>
          <t>Preschool children : development and relationships / [by] Mollie S. Smart [and] Russell C. Smart.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Smart, Mollie Stevens.</t>
        </is>
      </c>
      <c r="L1034" t="inlineStr">
        <is>
          <t>New York : Macmillan, [1973]</t>
        </is>
      </c>
      <c r="M1034" t="inlineStr">
        <is>
          <t>1973</t>
        </is>
      </c>
      <c r="O1034" t="inlineStr">
        <is>
          <t>eng</t>
        </is>
      </c>
      <c r="P1034" t="inlineStr">
        <is>
          <t>nyu</t>
        </is>
      </c>
      <c r="R1034" t="inlineStr">
        <is>
          <t xml:space="preserve">BF </t>
        </is>
      </c>
      <c r="S1034" t="n">
        <v>5</v>
      </c>
      <c r="T1034" t="n">
        <v>5</v>
      </c>
      <c r="U1034" t="inlineStr">
        <is>
          <t>1997-04-15</t>
        </is>
      </c>
      <c r="V1034" t="inlineStr">
        <is>
          <t>1997-04-15</t>
        </is>
      </c>
      <c r="W1034" t="inlineStr">
        <is>
          <t>1993-02-17</t>
        </is>
      </c>
      <c r="X1034" t="inlineStr">
        <is>
          <t>1993-02-17</t>
        </is>
      </c>
      <c r="Y1034" t="n">
        <v>353</v>
      </c>
      <c r="Z1034" t="n">
        <v>279</v>
      </c>
      <c r="AA1034" t="n">
        <v>450</v>
      </c>
      <c r="AB1034" t="n">
        <v>3</v>
      </c>
      <c r="AC1034" t="n">
        <v>6</v>
      </c>
      <c r="AD1034" t="n">
        <v>9</v>
      </c>
      <c r="AE1034" t="n">
        <v>16</v>
      </c>
      <c r="AF1034" t="n">
        <v>3</v>
      </c>
      <c r="AG1034" t="n">
        <v>5</v>
      </c>
      <c r="AH1034" t="n">
        <v>3</v>
      </c>
      <c r="AI1034" t="n">
        <v>3</v>
      </c>
      <c r="AJ1034" t="n">
        <v>3</v>
      </c>
      <c r="AK1034" t="n">
        <v>5</v>
      </c>
      <c r="AL1034" t="n">
        <v>2</v>
      </c>
      <c r="AM1034" t="n">
        <v>5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Yes</t>
        </is>
      </c>
      <c r="AR1034">
        <f>HYPERLINK("http://catalog.hathitrust.org/Record/000430201","HathiTrust Record")</f>
        <v/>
      </c>
      <c r="AS1034">
        <f>HYPERLINK("https://creighton-primo.hosted.exlibrisgroup.com/primo-explore/search?tab=default_tab&amp;search_scope=EVERYTHING&amp;vid=01CRU&amp;lang=en_US&amp;offset=0&amp;query=any,contains,991003027049702656","Catalog Record")</f>
        <v/>
      </c>
      <c r="AT1034">
        <f>HYPERLINK("http://www.worldcat.org/oclc/590756","WorldCat Record")</f>
        <v/>
      </c>
      <c r="AU1034" t="inlineStr">
        <is>
          <t>3857393462:eng</t>
        </is>
      </c>
      <c r="AV1034" t="inlineStr">
        <is>
          <t>590756</t>
        </is>
      </c>
      <c r="AW1034" t="inlineStr">
        <is>
          <t>991003027049702656</t>
        </is>
      </c>
      <c r="AX1034" t="inlineStr">
        <is>
          <t>991003027049702656</t>
        </is>
      </c>
      <c r="AY1034" t="inlineStr">
        <is>
          <t>2265542450002656</t>
        </is>
      </c>
      <c r="AZ1034" t="inlineStr">
        <is>
          <t>BOOK</t>
        </is>
      </c>
      <c r="BC1034" t="inlineStr">
        <is>
          <t>32285001502946</t>
        </is>
      </c>
      <c r="BD1034" t="inlineStr">
        <is>
          <t>893440846</t>
        </is>
      </c>
    </row>
    <row r="1035">
      <c r="A1035" t="inlineStr">
        <is>
          <t>No</t>
        </is>
      </c>
      <c r="B1035" t="inlineStr">
        <is>
          <t>BF721 .S5714</t>
        </is>
      </c>
      <c r="C1035" t="inlineStr">
        <is>
          <t>0                      BF 0721000S  5714</t>
        </is>
      </c>
      <c r="D1035" t="inlineStr">
        <is>
          <t>Readings in child development and relationships [compiled by] Russell C. Smart and Mollie S. Smart.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K1035" t="inlineStr">
        <is>
          <t>Smart, Russell Cook compiler.</t>
        </is>
      </c>
      <c r="L1035" t="inlineStr">
        <is>
          <t>New York, Macmillan [1972]</t>
        </is>
      </c>
      <c r="M1035" t="inlineStr">
        <is>
          <t>1972</t>
        </is>
      </c>
      <c r="O1035" t="inlineStr">
        <is>
          <t>eng</t>
        </is>
      </c>
      <c r="P1035" t="inlineStr">
        <is>
          <t>nyu</t>
        </is>
      </c>
      <c r="R1035" t="inlineStr">
        <is>
          <t xml:space="preserve">BF </t>
        </is>
      </c>
      <c r="S1035" t="n">
        <v>2</v>
      </c>
      <c r="T1035" t="n">
        <v>2</v>
      </c>
      <c r="U1035" t="inlineStr">
        <is>
          <t>2002-04-02</t>
        </is>
      </c>
      <c r="V1035" t="inlineStr">
        <is>
          <t>2002-04-02</t>
        </is>
      </c>
      <c r="W1035" t="inlineStr">
        <is>
          <t>1996-08-05</t>
        </is>
      </c>
      <c r="X1035" t="inlineStr">
        <is>
          <t>1996-08-05</t>
        </is>
      </c>
      <c r="Y1035" t="n">
        <v>454</v>
      </c>
      <c r="Z1035" t="n">
        <v>374</v>
      </c>
      <c r="AA1035" t="n">
        <v>542</v>
      </c>
      <c r="AB1035" t="n">
        <v>2</v>
      </c>
      <c r="AC1035" t="n">
        <v>5</v>
      </c>
      <c r="AD1035" t="n">
        <v>9</v>
      </c>
      <c r="AE1035" t="n">
        <v>16</v>
      </c>
      <c r="AF1035" t="n">
        <v>4</v>
      </c>
      <c r="AG1035" t="n">
        <v>5</v>
      </c>
      <c r="AH1035" t="n">
        <v>2</v>
      </c>
      <c r="AI1035" t="n">
        <v>3</v>
      </c>
      <c r="AJ1035" t="n">
        <v>4</v>
      </c>
      <c r="AK1035" t="n">
        <v>8</v>
      </c>
      <c r="AL1035" t="n">
        <v>1</v>
      </c>
      <c r="AM1035" t="n">
        <v>4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Yes</t>
        </is>
      </c>
      <c r="AR1035">
        <f>HYPERLINK("http://catalog.hathitrust.org/Record/000430207","HathiTrust Record")</f>
        <v/>
      </c>
      <c r="AS1035">
        <f>HYPERLINK("https://creighton-primo.hosted.exlibrisgroup.com/primo-explore/search?tab=default_tab&amp;search_scope=EVERYTHING&amp;vid=01CRU&amp;lang=en_US&amp;offset=0&amp;query=any,contains,991001904739702656","Catalog Record")</f>
        <v/>
      </c>
      <c r="AT1035">
        <f>HYPERLINK("http://www.worldcat.org/oclc/239889","WorldCat Record")</f>
        <v/>
      </c>
      <c r="AU1035" t="inlineStr">
        <is>
          <t>3768793102:eng</t>
        </is>
      </c>
      <c r="AV1035" t="inlineStr">
        <is>
          <t>239889</t>
        </is>
      </c>
      <c r="AW1035" t="inlineStr">
        <is>
          <t>991001904739702656</t>
        </is>
      </c>
      <c r="AX1035" t="inlineStr">
        <is>
          <t>991001904739702656</t>
        </is>
      </c>
      <c r="AY1035" t="inlineStr">
        <is>
          <t>2257051560002656</t>
        </is>
      </c>
      <c r="AZ1035" t="inlineStr">
        <is>
          <t>BOOK</t>
        </is>
      </c>
      <c r="BC1035" t="inlineStr">
        <is>
          <t>32285002255783</t>
        </is>
      </c>
      <c r="BD1035" t="inlineStr">
        <is>
          <t>893715807</t>
        </is>
      </c>
    </row>
    <row r="1036">
      <c r="A1036" t="inlineStr">
        <is>
          <t>No</t>
        </is>
      </c>
      <c r="B1036" t="inlineStr">
        <is>
          <t>BF721 .S5755 1970</t>
        </is>
      </c>
      <c r="C1036" t="inlineStr">
        <is>
          <t>0                      BF 0721000S  5755        1970</t>
        </is>
      </c>
      <c r="D1036" t="inlineStr">
        <is>
          <t>Perspectives in child psychology; research and review. Edited by Thomas D. Spencer [and] Norman Kass.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K1036" t="inlineStr">
        <is>
          <t>Spencer, Thomas D., 1937-, compiler.</t>
        </is>
      </c>
      <c r="L1036" t="inlineStr">
        <is>
          <t>New York, McGraw-Hill [1970]</t>
        </is>
      </c>
      <c r="M1036" t="inlineStr">
        <is>
          <t>1970</t>
        </is>
      </c>
      <c r="O1036" t="inlineStr">
        <is>
          <t>eng</t>
        </is>
      </c>
      <c r="P1036" t="inlineStr">
        <is>
          <t>nyu</t>
        </is>
      </c>
      <c r="R1036" t="inlineStr">
        <is>
          <t xml:space="preserve">BF </t>
        </is>
      </c>
      <c r="S1036" t="n">
        <v>1</v>
      </c>
      <c r="T1036" t="n">
        <v>1</v>
      </c>
      <c r="U1036" t="inlineStr">
        <is>
          <t>2001-01-21</t>
        </is>
      </c>
      <c r="V1036" t="inlineStr">
        <is>
          <t>2001-01-21</t>
        </is>
      </c>
      <c r="W1036" t="inlineStr">
        <is>
          <t>1996-08-05</t>
        </is>
      </c>
      <c r="X1036" t="inlineStr">
        <is>
          <t>1996-08-05</t>
        </is>
      </c>
      <c r="Y1036" t="n">
        <v>504</v>
      </c>
      <c r="Z1036" t="n">
        <v>378</v>
      </c>
      <c r="AA1036" t="n">
        <v>384</v>
      </c>
      <c r="AB1036" t="n">
        <v>1</v>
      </c>
      <c r="AC1036" t="n">
        <v>1</v>
      </c>
      <c r="AD1036" t="n">
        <v>11</v>
      </c>
      <c r="AE1036" t="n">
        <v>11</v>
      </c>
      <c r="AF1036" t="n">
        <v>5</v>
      </c>
      <c r="AG1036" t="n">
        <v>5</v>
      </c>
      <c r="AH1036" t="n">
        <v>2</v>
      </c>
      <c r="AI1036" t="n">
        <v>2</v>
      </c>
      <c r="AJ1036" t="n">
        <v>7</v>
      </c>
      <c r="AK1036" t="n">
        <v>7</v>
      </c>
      <c r="AL1036" t="n">
        <v>0</v>
      </c>
      <c r="AM1036" t="n">
        <v>0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Yes</t>
        </is>
      </c>
      <c r="AR1036">
        <f>HYPERLINK("http://catalog.hathitrust.org/Record/000430929","HathiTrust Record")</f>
        <v/>
      </c>
      <c r="AS1036">
        <f>HYPERLINK("https://creighton-primo.hosted.exlibrisgroup.com/primo-explore/search?tab=default_tab&amp;search_scope=EVERYTHING&amp;vid=01CRU&amp;lang=en_US&amp;offset=0&amp;query=any,contains,991000328809702656","Catalog Record")</f>
        <v/>
      </c>
      <c r="AT1036">
        <f>HYPERLINK("http://www.worldcat.org/oclc/69958","WorldCat Record")</f>
        <v/>
      </c>
      <c r="AU1036" t="inlineStr">
        <is>
          <t>821259404:eng</t>
        </is>
      </c>
      <c r="AV1036" t="inlineStr">
        <is>
          <t>69958</t>
        </is>
      </c>
      <c r="AW1036" t="inlineStr">
        <is>
          <t>991000328809702656</t>
        </is>
      </c>
      <c r="AX1036" t="inlineStr">
        <is>
          <t>991000328809702656</t>
        </is>
      </c>
      <c r="AY1036" t="inlineStr">
        <is>
          <t>2261344960002656</t>
        </is>
      </c>
      <c r="AZ1036" t="inlineStr">
        <is>
          <t>BOOK</t>
        </is>
      </c>
      <c r="BC1036" t="inlineStr">
        <is>
          <t>32285002255791</t>
        </is>
      </c>
      <c r="BD1036" t="inlineStr">
        <is>
          <t>893249252</t>
        </is>
      </c>
    </row>
    <row r="1037">
      <c r="A1037" t="inlineStr">
        <is>
          <t>No</t>
        </is>
      </c>
      <c r="B1037" t="inlineStr">
        <is>
          <t>BF721 .S833</t>
        </is>
      </c>
      <c r="C1037" t="inlineStr">
        <is>
          <t>0                      BF 0721000S  833</t>
        </is>
      </c>
      <c r="D1037" t="inlineStr">
        <is>
          <t>Developmental psychology : the school-aged child / Ellen A. Strommen, John Paul McKinney, Hiram E. Fitzgerald.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Strommen, Ellen A.</t>
        </is>
      </c>
      <c r="L1037" t="inlineStr">
        <is>
          <t>Homewood, Ill. : Dorsey Press, 1977.</t>
        </is>
      </c>
      <c r="M1037" t="inlineStr">
        <is>
          <t>1977</t>
        </is>
      </c>
      <c r="O1037" t="inlineStr">
        <is>
          <t>eng</t>
        </is>
      </c>
      <c r="P1037" t="inlineStr">
        <is>
          <t>ilu</t>
        </is>
      </c>
      <c r="Q1037" t="inlineStr">
        <is>
          <t>The Dorsey series in psychology</t>
        </is>
      </c>
      <c r="R1037" t="inlineStr">
        <is>
          <t xml:space="preserve">BF </t>
        </is>
      </c>
      <c r="S1037" t="n">
        <v>3</v>
      </c>
      <c r="T1037" t="n">
        <v>3</v>
      </c>
      <c r="U1037" t="inlineStr">
        <is>
          <t>2005-11-14</t>
        </is>
      </c>
      <c r="V1037" t="inlineStr">
        <is>
          <t>2005-11-14</t>
        </is>
      </c>
      <c r="W1037" t="inlineStr">
        <is>
          <t>1994-11-10</t>
        </is>
      </c>
      <c r="X1037" t="inlineStr">
        <is>
          <t>1994-11-10</t>
        </is>
      </c>
      <c r="Y1037" t="n">
        <v>210</v>
      </c>
      <c r="Z1037" t="n">
        <v>162</v>
      </c>
      <c r="AA1037" t="n">
        <v>274</v>
      </c>
      <c r="AB1037" t="n">
        <v>2</v>
      </c>
      <c r="AC1037" t="n">
        <v>2</v>
      </c>
      <c r="AD1037" t="n">
        <v>6</v>
      </c>
      <c r="AE1037" t="n">
        <v>9</v>
      </c>
      <c r="AF1037" t="n">
        <v>1</v>
      </c>
      <c r="AG1037" t="n">
        <v>1</v>
      </c>
      <c r="AH1037" t="n">
        <v>2</v>
      </c>
      <c r="AI1037" t="n">
        <v>4</v>
      </c>
      <c r="AJ1037" t="n">
        <v>3</v>
      </c>
      <c r="AK1037" t="n">
        <v>5</v>
      </c>
      <c r="AL1037" t="n">
        <v>1</v>
      </c>
      <c r="AM1037" t="n">
        <v>1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No</t>
        </is>
      </c>
      <c r="AS1037">
        <f>HYPERLINK("https://creighton-primo.hosted.exlibrisgroup.com/primo-explore/search?tab=default_tab&amp;search_scope=EVERYTHING&amp;vid=01CRU&amp;lang=en_US&amp;offset=0&amp;query=any,contains,991004284249702656","Catalog Record")</f>
        <v/>
      </c>
      <c r="AT1037">
        <f>HYPERLINK("http://www.worldcat.org/oclc/2918977","WorldCat Record")</f>
        <v/>
      </c>
      <c r="AU1037" t="inlineStr">
        <is>
          <t>9593365848:eng</t>
        </is>
      </c>
      <c r="AV1037" t="inlineStr">
        <is>
          <t>2918977</t>
        </is>
      </c>
      <c r="AW1037" t="inlineStr">
        <is>
          <t>991004284249702656</t>
        </is>
      </c>
      <c r="AX1037" t="inlineStr">
        <is>
          <t>991004284249702656</t>
        </is>
      </c>
      <c r="AY1037" t="inlineStr">
        <is>
          <t>2269167630002656</t>
        </is>
      </c>
      <c r="AZ1037" t="inlineStr">
        <is>
          <t>BOOK</t>
        </is>
      </c>
      <c r="BB1037" t="inlineStr">
        <is>
          <t>9780256019391</t>
        </is>
      </c>
      <c r="BC1037" t="inlineStr">
        <is>
          <t>32285001965440</t>
        </is>
      </c>
      <c r="BD1037" t="inlineStr">
        <is>
          <t>893612170</t>
        </is>
      </c>
    </row>
    <row r="1038">
      <c r="A1038" t="inlineStr">
        <is>
          <t>No</t>
        </is>
      </c>
      <c r="B1038" t="inlineStr">
        <is>
          <t>BF721 .T456</t>
        </is>
      </c>
      <c r="C1038" t="inlineStr">
        <is>
          <t>0                      BF 0721000T  456</t>
        </is>
      </c>
      <c r="D1038" t="inlineStr">
        <is>
          <t>Comparing theories of child development / R. Murray Thomas. --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Thomas, R. Murray (Robert Murray), 1921-</t>
        </is>
      </c>
      <c r="L1038" t="inlineStr">
        <is>
          <t>Belmont, Calif. : Wadsworth Pub. Co., 1979.</t>
        </is>
      </c>
      <c r="M1038" t="inlineStr">
        <is>
          <t>1979</t>
        </is>
      </c>
      <c r="O1038" t="inlineStr">
        <is>
          <t>eng</t>
        </is>
      </c>
      <c r="P1038" t="inlineStr">
        <is>
          <t>cau</t>
        </is>
      </c>
      <c r="R1038" t="inlineStr">
        <is>
          <t xml:space="preserve">BF </t>
        </is>
      </c>
      <c r="S1038" t="n">
        <v>5</v>
      </c>
      <c r="T1038" t="n">
        <v>5</v>
      </c>
      <c r="U1038" t="inlineStr">
        <is>
          <t>1996-03-22</t>
        </is>
      </c>
      <c r="V1038" t="inlineStr">
        <is>
          <t>1996-03-22</t>
        </is>
      </c>
      <c r="W1038" t="inlineStr">
        <is>
          <t>1992-04-14</t>
        </is>
      </c>
      <c r="X1038" t="inlineStr">
        <is>
          <t>1992-04-14</t>
        </is>
      </c>
      <c r="Y1038" t="n">
        <v>573</v>
      </c>
      <c r="Z1038" t="n">
        <v>459</v>
      </c>
      <c r="AA1038" t="n">
        <v>881</v>
      </c>
      <c r="AB1038" t="n">
        <v>5</v>
      </c>
      <c r="AC1038" t="n">
        <v>8</v>
      </c>
      <c r="AD1038" t="n">
        <v>18</v>
      </c>
      <c r="AE1038" t="n">
        <v>35</v>
      </c>
      <c r="AF1038" t="n">
        <v>8</v>
      </c>
      <c r="AG1038" t="n">
        <v>15</v>
      </c>
      <c r="AH1038" t="n">
        <v>3</v>
      </c>
      <c r="AI1038" t="n">
        <v>5</v>
      </c>
      <c r="AJ1038" t="n">
        <v>6</v>
      </c>
      <c r="AK1038" t="n">
        <v>16</v>
      </c>
      <c r="AL1038" t="n">
        <v>4</v>
      </c>
      <c r="AM1038" t="n">
        <v>7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No</t>
        </is>
      </c>
      <c r="AS1038">
        <f>HYPERLINK("https://creighton-primo.hosted.exlibrisgroup.com/primo-explore/search?tab=default_tab&amp;search_scope=EVERYTHING&amp;vid=01CRU&amp;lang=en_US&amp;offset=0&amp;query=any,contains,991004539879702656","Catalog Record")</f>
        <v/>
      </c>
      <c r="AT1038">
        <f>HYPERLINK("http://www.worldcat.org/oclc/3892618","WorldCat Record")</f>
        <v/>
      </c>
      <c r="AU1038" t="inlineStr">
        <is>
          <t>3443813:eng</t>
        </is>
      </c>
      <c r="AV1038" t="inlineStr">
        <is>
          <t>3892618</t>
        </is>
      </c>
      <c r="AW1038" t="inlineStr">
        <is>
          <t>991004539879702656</t>
        </is>
      </c>
      <c r="AX1038" t="inlineStr">
        <is>
          <t>991004539879702656</t>
        </is>
      </c>
      <c r="AY1038" t="inlineStr">
        <is>
          <t>2272314280002656</t>
        </is>
      </c>
      <c r="AZ1038" t="inlineStr">
        <is>
          <t>BOOK</t>
        </is>
      </c>
      <c r="BB1038" t="inlineStr">
        <is>
          <t>9780534005917</t>
        </is>
      </c>
      <c r="BC1038" t="inlineStr">
        <is>
          <t>32285001067866</t>
        </is>
      </c>
      <c r="BD1038" t="inlineStr">
        <is>
          <t>893599960</t>
        </is>
      </c>
    </row>
    <row r="1039">
      <c r="A1039" t="inlineStr">
        <is>
          <t>No</t>
        </is>
      </c>
      <c r="B1039" t="inlineStr">
        <is>
          <t>BF721 .T72</t>
        </is>
      </c>
      <c r="C1039" t="inlineStr">
        <is>
          <t>0                      BF 0721000T  72</t>
        </is>
      </c>
      <c r="D1039" t="inlineStr">
        <is>
          <t>The growing child : introduction to child development / John F. Travers.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Travers, John F.</t>
        </is>
      </c>
      <c r="L1039" t="inlineStr">
        <is>
          <t>New York : Wiley, c1977.</t>
        </is>
      </c>
      <c r="M1039" t="inlineStr">
        <is>
          <t>1977</t>
        </is>
      </c>
      <c r="O1039" t="inlineStr">
        <is>
          <t>eng</t>
        </is>
      </c>
      <c r="P1039" t="inlineStr">
        <is>
          <t>nyu</t>
        </is>
      </c>
      <c r="R1039" t="inlineStr">
        <is>
          <t xml:space="preserve">BF </t>
        </is>
      </c>
      <c r="S1039" t="n">
        <v>3</v>
      </c>
      <c r="T1039" t="n">
        <v>3</v>
      </c>
      <c r="U1039" t="inlineStr">
        <is>
          <t>1996-04-22</t>
        </is>
      </c>
      <c r="V1039" t="inlineStr">
        <is>
          <t>1996-04-22</t>
        </is>
      </c>
      <c r="W1039" t="inlineStr">
        <is>
          <t>1992-04-26</t>
        </is>
      </c>
      <c r="X1039" t="inlineStr">
        <is>
          <t>1992-04-26</t>
        </is>
      </c>
      <c r="Y1039" t="n">
        <v>235</v>
      </c>
      <c r="Z1039" t="n">
        <v>153</v>
      </c>
      <c r="AA1039" t="n">
        <v>218</v>
      </c>
      <c r="AB1039" t="n">
        <v>2</v>
      </c>
      <c r="AC1039" t="n">
        <v>2</v>
      </c>
      <c r="AD1039" t="n">
        <v>3</v>
      </c>
      <c r="AE1039" t="n">
        <v>3</v>
      </c>
      <c r="AF1039" t="n">
        <v>0</v>
      </c>
      <c r="AG1039" t="n">
        <v>0</v>
      </c>
      <c r="AH1039" t="n">
        <v>0</v>
      </c>
      <c r="AI1039" t="n">
        <v>0</v>
      </c>
      <c r="AJ1039" t="n">
        <v>2</v>
      </c>
      <c r="AK1039" t="n">
        <v>2</v>
      </c>
      <c r="AL1039" t="n">
        <v>1</v>
      </c>
      <c r="AM1039" t="n">
        <v>1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No</t>
        </is>
      </c>
      <c r="AS1039">
        <f>HYPERLINK("https://creighton-primo.hosted.exlibrisgroup.com/primo-explore/search?tab=default_tab&amp;search_scope=EVERYTHING&amp;vid=01CRU&amp;lang=en_US&amp;offset=0&amp;query=any,contains,991004076679702656","Catalog Record")</f>
        <v/>
      </c>
      <c r="AT1039">
        <f>HYPERLINK("http://www.worldcat.org/oclc/2318214","WorldCat Record")</f>
        <v/>
      </c>
      <c r="AU1039" t="inlineStr">
        <is>
          <t>29385307:eng</t>
        </is>
      </c>
      <c r="AV1039" t="inlineStr">
        <is>
          <t>2318214</t>
        </is>
      </c>
      <c r="AW1039" t="inlineStr">
        <is>
          <t>991004076679702656</t>
        </is>
      </c>
      <c r="AX1039" t="inlineStr">
        <is>
          <t>991004076679702656</t>
        </is>
      </c>
      <c r="AY1039" t="inlineStr">
        <is>
          <t>2263969690002656</t>
        </is>
      </c>
      <c r="AZ1039" t="inlineStr">
        <is>
          <t>BOOK</t>
        </is>
      </c>
      <c r="BB1039" t="inlineStr">
        <is>
          <t>9780471885009</t>
        </is>
      </c>
      <c r="BC1039" t="inlineStr">
        <is>
          <t>32285001087021</t>
        </is>
      </c>
      <c r="BD1039" t="inlineStr">
        <is>
          <t>893693488</t>
        </is>
      </c>
    </row>
    <row r="1040">
      <c r="A1040" t="inlineStr">
        <is>
          <t>No</t>
        </is>
      </c>
      <c r="B1040" t="inlineStr">
        <is>
          <t>BF721 .V38</t>
        </is>
      </c>
      <c r="C1040" t="inlineStr">
        <is>
          <t>0                      BF 0721000V  38</t>
        </is>
      </c>
      <c r="D1040" t="inlineStr">
        <is>
          <t>The parental figures and the representation of God : a psychological and cross-cultural study / Antoine Vergote and Alvaro Tamayo.</t>
        </is>
      </c>
      <c r="F1040" t="inlineStr">
        <is>
          <t>No</t>
        </is>
      </c>
      <c r="G1040" t="inlineStr">
        <is>
          <t>1</t>
        </is>
      </c>
      <c r="H1040" t="inlineStr">
        <is>
          <t>No</t>
        </is>
      </c>
      <c r="I1040" t="inlineStr">
        <is>
          <t>No</t>
        </is>
      </c>
      <c r="J1040" t="inlineStr">
        <is>
          <t>0</t>
        </is>
      </c>
      <c r="K1040" t="inlineStr">
        <is>
          <t>Vergote, Antoine.</t>
        </is>
      </c>
      <c r="L1040" t="inlineStr">
        <is>
          <t>The Hague ; New York Mouton, c1981.</t>
        </is>
      </c>
      <c r="M1040" t="inlineStr">
        <is>
          <t>1981</t>
        </is>
      </c>
      <c r="O1040" t="inlineStr">
        <is>
          <t>eng</t>
        </is>
      </c>
      <c r="P1040" t="inlineStr">
        <is>
          <t xml:space="preserve">ne </t>
        </is>
      </c>
      <c r="Q1040" t="inlineStr">
        <is>
          <t>Religion and society ; 21</t>
        </is>
      </c>
      <c r="R1040" t="inlineStr">
        <is>
          <t xml:space="preserve">BF </t>
        </is>
      </c>
      <c r="S1040" t="n">
        <v>4</v>
      </c>
      <c r="T1040" t="n">
        <v>4</v>
      </c>
      <c r="U1040" t="inlineStr">
        <is>
          <t>2000-12-02</t>
        </is>
      </c>
      <c r="V1040" t="inlineStr">
        <is>
          <t>2000-12-02</t>
        </is>
      </c>
      <c r="W1040" t="inlineStr">
        <is>
          <t>1990-04-17</t>
        </is>
      </c>
      <c r="X1040" t="inlineStr">
        <is>
          <t>1990-04-17</t>
        </is>
      </c>
      <c r="Y1040" t="n">
        <v>172</v>
      </c>
      <c r="Z1040" t="n">
        <v>118</v>
      </c>
      <c r="AA1040" t="n">
        <v>224</v>
      </c>
      <c r="AB1040" t="n">
        <v>2</v>
      </c>
      <c r="AC1040" t="n">
        <v>2</v>
      </c>
      <c r="AD1040" t="n">
        <v>10</v>
      </c>
      <c r="AE1040" t="n">
        <v>15</v>
      </c>
      <c r="AF1040" t="n">
        <v>1</v>
      </c>
      <c r="AG1040" t="n">
        <v>2</v>
      </c>
      <c r="AH1040" t="n">
        <v>4</v>
      </c>
      <c r="AI1040" t="n">
        <v>5</v>
      </c>
      <c r="AJ1040" t="n">
        <v>8</v>
      </c>
      <c r="AK1040" t="n">
        <v>12</v>
      </c>
      <c r="AL1040" t="n">
        <v>1</v>
      </c>
      <c r="AM1040" t="n">
        <v>1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Yes</t>
        </is>
      </c>
      <c r="AR1040">
        <f>HYPERLINK("http://catalog.hathitrust.org/Record/101868655","HathiTrust Record")</f>
        <v/>
      </c>
      <c r="AS1040">
        <f>HYPERLINK("https://creighton-primo.hosted.exlibrisgroup.com/primo-explore/search?tab=default_tab&amp;search_scope=EVERYTHING&amp;vid=01CRU&amp;lang=en_US&amp;offset=0&amp;query=any,contains,991005200679702656","Catalog Record")</f>
        <v/>
      </c>
      <c r="AT1040">
        <f>HYPERLINK("http://www.worldcat.org/oclc/8072528","WorldCat Record")</f>
        <v/>
      </c>
      <c r="AU1040" t="inlineStr">
        <is>
          <t>889575213:eng</t>
        </is>
      </c>
      <c r="AV1040" t="inlineStr">
        <is>
          <t>8072528</t>
        </is>
      </c>
      <c r="AW1040" t="inlineStr">
        <is>
          <t>991005200679702656</t>
        </is>
      </c>
      <c r="AX1040" t="inlineStr">
        <is>
          <t>991005200679702656</t>
        </is>
      </c>
      <c r="AY1040" t="inlineStr">
        <is>
          <t>2255443670002656</t>
        </is>
      </c>
      <c r="AZ1040" t="inlineStr">
        <is>
          <t>BOOK</t>
        </is>
      </c>
      <c r="BB1040" t="inlineStr">
        <is>
          <t>9789027930590</t>
        </is>
      </c>
      <c r="BC1040" t="inlineStr">
        <is>
          <t>32285000122779</t>
        </is>
      </c>
      <c r="BD1040" t="inlineStr">
        <is>
          <t>893902285</t>
        </is>
      </c>
    </row>
    <row r="1041">
      <c r="A1041" t="inlineStr">
        <is>
          <t>No</t>
        </is>
      </c>
      <c r="B1041" t="inlineStr">
        <is>
          <t>BF721 .V4</t>
        </is>
      </c>
      <c r="C1041" t="inlineStr">
        <is>
          <t>0                      BF 0721000V  4</t>
        </is>
      </c>
      <c r="D1041" t="inlineStr">
        <is>
          <t>Intelligence and cultural environment / [by] Philip E. Vernon.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Vernon, Philip E., 1905-1987.</t>
        </is>
      </c>
      <c r="L1041" t="inlineStr">
        <is>
          <t>London : Methuen, 1969.</t>
        </is>
      </c>
      <c r="M1041" t="inlineStr">
        <is>
          <t>1969</t>
        </is>
      </c>
      <c r="O1041" t="inlineStr">
        <is>
          <t>eng</t>
        </is>
      </c>
      <c r="P1041" t="inlineStr">
        <is>
          <t>enk</t>
        </is>
      </c>
      <c r="Q1041" t="inlineStr">
        <is>
          <t>Methuen's manuals of modern psychology</t>
        </is>
      </c>
      <c r="R1041" t="inlineStr">
        <is>
          <t xml:space="preserve">BF </t>
        </is>
      </c>
      <c r="S1041" t="n">
        <v>5</v>
      </c>
      <c r="T1041" t="n">
        <v>5</v>
      </c>
      <c r="U1041" t="inlineStr">
        <is>
          <t>1997-03-18</t>
        </is>
      </c>
      <c r="V1041" t="inlineStr">
        <is>
          <t>1997-03-18</t>
        </is>
      </c>
      <c r="W1041" t="inlineStr">
        <is>
          <t>1993-03-09</t>
        </is>
      </c>
      <c r="X1041" t="inlineStr">
        <is>
          <t>1993-03-09</t>
        </is>
      </c>
      <c r="Y1041" t="n">
        <v>748</v>
      </c>
      <c r="Z1041" t="n">
        <v>508</v>
      </c>
      <c r="AA1041" t="n">
        <v>566</v>
      </c>
      <c r="AB1041" t="n">
        <v>4</v>
      </c>
      <c r="AC1041" t="n">
        <v>4</v>
      </c>
      <c r="AD1041" t="n">
        <v>22</v>
      </c>
      <c r="AE1041" t="n">
        <v>24</v>
      </c>
      <c r="AF1041" t="n">
        <v>7</v>
      </c>
      <c r="AG1041" t="n">
        <v>8</v>
      </c>
      <c r="AH1041" t="n">
        <v>6</v>
      </c>
      <c r="AI1041" t="n">
        <v>6</v>
      </c>
      <c r="AJ1041" t="n">
        <v>11</v>
      </c>
      <c r="AK1041" t="n">
        <v>12</v>
      </c>
      <c r="AL1041" t="n">
        <v>3</v>
      </c>
      <c r="AM1041" t="n">
        <v>3</v>
      </c>
      <c r="AN1041" t="n">
        <v>0</v>
      </c>
      <c r="AO1041" t="n">
        <v>0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HYPERLINK("http://catalog.hathitrust.org/Record/000430301","HathiTrust Record")</f>
        <v/>
      </c>
      <c r="AS1041">
        <f>HYPERLINK("https://creighton-primo.hosted.exlibrisgroup.com/primo-explore/search?tab=default_tab&amp;search_scope=EVERYTHING&amp;vid=01CRU&amp;lang=en_US&amp;offset=0&amp;query=any,contains,991000029079702656","Catalog Record")</f>
        <v/>
      </c>
      <c r="AT1041">
        <f>HYPERLINK("http://www.worldcat.org/oclc/18822","WorldCat Record")</f>
        <v/>
      </c>
      <c r="AU1041" t="inlineStr">
        <is>
          <t>1141317:eng</t>
        </is>
      </c>
      <c r="AV1041" t="inlineStr">
        <is>
          <t>18822</t>
        </is>
      </c>
      <c r="AW1041" t="inlineStr">
        <is>
          <t>991000029079702656</t>
        </is>
      </c>
      <c r="AX1041" t="inlineStr">
        <is>
          <t>991000029079702656</t>
        </is>
      </c>
      <c r="AY1041" t="inlineStr">
        <is>
          <t>2272307490002656</t>
        </is>
      </c>
      <c r="AZ1041" t="inlineStr">
        <is>
          <t>BOOK</t>
        </is>
      </c>
      <c r="BB1041" t="inlineStr">
        <is>
          <t>9780416121209</t>
        </is>
      </c>
      <c r="BC1041" t="inlineStr">
        <is>
          <t>32285001570885</t>
        </is>
      </c>
      <c r="BD1041" t="inlineStr">
        <is>
          <t>893431607</t>
        </is>
      </c>
    </row>
    <row r="1042">
      <c r="A1042" t="inlineStr">
        <is>
          <t>No</t>
        </is>
      </c>
      <c r="B1042" t="inlineStr">
        <is>
          <t>BF721 .W33 1973</t>
        </is>
      </c>
      <c r="C1042" t="inlineStr">
        <is>
          <t>0                      BF 0721000W  33          1973</t>
        </is>
      </c>
      <c r="D1042" t="inlineStr">
        <is>
          <t>Psychology of the child / [by] Robert I. Watson [and] Henry Clay Lindgren.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Watson, Robert I. (Robert Irving), 1909-1980.</t>
        </is>
      </c>
      <c r="L1042" t="inlineStr">
        <is>
          <t>New York : J. Wiley, [1973]</t>
        </is>
      </c>
      <c r="M1042" t="inlineStr">
        <is>
          <t>1973</t>
        </is>
      </c>
      <c r="N1042" t="inlineStr">
        <is>
          <t>3d ed.</t>
        </is>
      </c>
      <c r="O1042" t="inlineStr">
        <is>
          <t>eng</t>
        </is>
      </c>
      <c r="P1042" t="inlineStr">
        <is>
          <t>nyu</t>
        </is>
      </c>
      <c r="Q1042" t="inlineStr">
        <is>
          <t>Series in psychology</t>
        </is>
      </c>
      <c r="R1042" t="inlineStr">
        <is>
          <t xml:space="preserve">BF </t>
        </is>
      </c>
      <c r="S1042" t="n">
        <v>8</v>
      </c>
      <c r="T1042" t="n">
        <v>8</v>
      </c>
      <c r="U1042" t="inlineStr">
        <is>
          <t>2007-09-18</t>
        </is>
      </c>
      <c r="V1042" t="inlineStr">
        <is>
          <t>2007-09-18</t>
        </is>
      </c>
      <c r="W1042" t="inlineStr">
        <is>
          <t>1992-01-17</t>
        </is>
      </c>
      <c r="X1042" t="inlineStr">
        <is>
          <t>1992-01-17</t>
        </is>
      </c>
      <c r="Y1042" t="n">
        <v>394</v>
      </c>
      <c r="Z1042" t="n">
        <v>275</v>
      </c>
      <c r="AA1042" t="n">
        <v>615</v>
      </c>
      <c r="AB1042" t="n">
        <v>2</v>
      </c>
      <c r="AC1042" t="n">
        <v>2</v>
      </c>
      <c r="AD1042" t="n">
        <v>5</v>
      </c>
      <c r="AE1042" t="n">
        <v>22</v>
      </c>
      <c r="AF1042" t="n">
        <v>2</v>
      </c>
      <c r="AG1042" t="n">
        <v>9</v>
      </c>
      <c r="AH1042" t="n">
        <v>1</v>
      </c>
      <c r="AI1042" t="n">
        <v>4</v>
      </c>
      <c r="AJ1042" t="n">
        <v>2</v>
      </c>
      <c r="AK1042" t="n">
        <v>12</v>
      </c>
      <c r="AL1042" t="n">
        <v>1</v>
      </c>
      <c r="AM1042" t="n">
        <v>1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Yes</t>
        </is>
      </c>
      <c r="AR1042">
        <f>HYPERLINK("http://catalog.hathitrust.org/Record/000430315","HathiTrust Record")</f>
        <v/>
      </c>
      <c r="AS1042">
        <f>HYPERLINK("https://creighton-primo.hosted.exlibrisgroup.com/primo-explore/search?tab=default_tab&amp;search_scope=EVERYTHING&amp;vid=01CRU&amp;lang=en_US&amp;offset=0&amp;query=any,contains,991002394309702656","Catalog Record")</f>
        <v/>
      </c>
      <c r="AT1042">
        <f>HYPERLINK("http://www.worldcat.org/oclc/333650","WorldCat Record")</f>
        <v/>
      </c>
      <c r="AU1042" t="inlineStr">
        <is>
          <t>2866265490:eng</t>
        </is>
      </c>
      <c r="AV1042" t="inlineStr">
        <is>
          <t>333650</t>
        </is>
      </c>
      <c r="AW1042" t="inlineStr">
        <is>
          <t>991002394309702656</t>
        </is>
      </c>
      <c r="AX1042" t="inlineStr">
        <is>
          <t>991002394309702656</t>
        </is>
      </c>
      <c r="AY1042" t="inlineStr">
        <is>
          <t>2258006300002656</t>
        </is>
      </c>
      <c r="AZ1042" t="inlineStr">
        <is>
          <t>BOOK</t>
        </is>
      </c>
      <c r="BB1042" t="inlineStr">
        <is>
          <t>9780471922407</t>
        </is>
      </c>
      <c r="BC1042" t="inlineStr">
        <is>
          <t>32285000914985</t>
        </is>
      </c>
      <c r="BD1042" t="inlineStr">
        <is>
          <t>893685312</t>
        </is>
      </c>
    </row>
    <row r="1043">
      <c r="A1043" t="inlineStr">
        <is>
          <t>No</t>
        </is>
      </c>
      <c r="B1043" t="inlineStr">
        <is>
          <t>BF721 .W385 1986</t>
        </is>
      </c>
      <c r="C1043" t="inlineStr">
        <is>
          <t>0                      BF 0721000W  385         1986</t>
        </is>
      </c>
      <c r="D1043" t="inlineStr">
        <is>
          <t>Human growth and development : a psychological approach / Frank Wesley, Edith Sullivan.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Wesley, Frank, 1918-</t>
        </is>
      </c>
      <c r="L1043" t="inlineStr">
        <is>
          <t>New York, N.Y. : Human Science Press, c1986.</t>
        </is>
      </c>
      <c r="M1043" t="inlineStr">
        <is>
          <t>1986</t>
        </is>
      </c>
      <c r="N1043" t="inlineStr">
        <is>
          <t>2nd ed.</t>
        </is>
      </c>
      <c r="O1043" t="inlineStr">
        <is>
          <t>eng</t>
        </is>
      </c>
      <c r="P1043" t="inlineStr">
        <is>
          <t>nyu</t>
        </is>
      </c>
      <c r="R1043" t="inlineStr">
        <is>
          <t xml:space="preserve">BF </t>
        </is>
      </c>
      <c r="S1043" t="n">
        <v>8</v>
      </c>
      <c r="T1043" t="n">
        <v>8</v>
      </c>
      <c r="U1043" t="inlineStr">
        <is>
          <t>2005-11-14</t>
        </is>
      </c>
      <c r="V1043" t="inlineStr">
        <is>
          <t>2005-11-14</t>
        </is>
      </c>
      <c r="W1043" t="inlineStr">
        <is>
          <t>1990-05-10</t>
        </is>
      </c>
      <c r="X1043" t="inlineStr">
        <is>
          <t>1990-05-10</t>
        </is>
      </c>
      <c r="Y1043" t="n">
        <v>199</v>
      </c>
      <c r="Z1043" t="n">
        <v>169</v>
      </c>
      <c r="AA1043" t="n">
        <v>348</v>
      </c>
      <c r="AB1043" t="n">
        <v>3</v>
      </c>
      <c r="AC1043" t="n">
        <v>3</v>
      </c>
      <c r="AD1043" t="n">
        <v>4</v>
      </c>
      <c r="AE1043" t="n">
        <v>6</v>
      </c>
      <c r="AF1043" t="n">
        <v>1</v>
      </c>
      <c r="AG1043" t="n">
        <v>1</v>
      </c>
      <c r="AH1043" t="n">
        <v>0</v>
      </c>
      <c r="AI1043" t="n">
        <v>1</v>
      </c>
      <c r="AJ1043" t="n">
        <v>1</v>
      </c>
      <c r="AK1043" t="n">
        <v>2</v>
      </c>
      <c r="AL1043" t="n">
        <v>2</v>
      </c>
      <c r="AM1043" t="n">
        <v>2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HYPERLINK("http://catalog.hathitrust.org/Record/000804867","HathiTrust Record")</f>
        <v/>
      </c>
      <c r="AS1043">
        <f>HYPERLINK("https://creighton-primo.hosted.exlibrisgroup.com/primo-explore/search?tab=default_tab&amp;search_scope=EVERYTHING&amp;vid=01CRU&amp;lang=en_US&amp;offset=0&amp;query=any,contains,991000857009702656","Catalog Record")</f>
        <v/>
      </c>
      <c r="AT1043">
        <f>HYPERLINK("http://www.worldcat.org/oclc/13665527","WorldCat Record")</f>
        <v/>
      </c>
      <c r="AU1043" t="inlineStr">
        <is>
          <t>836633416:eng</t>
        </is>
      </c>
      <c r="AV1043" t="inlineStr">
        <is>
          <t>13665527</t>
        </is>
      </c>
      <c r="AW1043" t="inlineStr">
        <is>
          <t>991000857009702656</t>
        </is>
      </c>
      <c r="AX1043" t="inlineStr">
        <is>
          <t>991000857009702656</t>
        </is>
      </c>
      <c r="AY1043" t="inlineStr">
        <is>
          <t>2269969380002656</t>
        </is>
      </c>
      <c r="AZ1043" t="inlineStr">
        <is>
          <t>BOOK</t>
        </is>
      </c>
      <c r="BB1043" t="inlineStr">
        <is>
          <t>9780898853162</t>
        </is>
      </c>
      <c r="BC1043" t="inlineStr">
        <is>
          <t>32285000151232</t>
        </is>
      </c>
      <c r="BD1043" t="inlineStr">
        <is>
          <t>893683809</t>
        </is>
      </c>
    </row>
    <row r="1044">
      <c r="A1044" t="inlineStr">
        <is>
          <t>No</t>
        </is>
      </c>
      <c r="B1044" t="inlineStr">
        <is>
          <t>BF721 .Y3 1940a</t>
        </is>
      </c>
      <c r="C1044" t="inlineStr">
        <is>
          <t>0                      BF 0721000Y  3           1940a</t>
        </is>
      </c>
      <c r="D1044" t="inlineStr">
        <is>
          <t>The first five years of life : a guide to the study of the preschool child, from the Yale clinic of child development.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Yale University. Clinic of Child Development.</t>
        </is>
      </c>
      <c r="L1044" t="inlineStr">
        <is>
          <t>New York ; London : Harper &amp; brothers, c1940.</t>
        </is>
      </c>
      <c r="M1044" t="inlineStr">
        <is>
          <t>1940</t>
        </is>
      </c>
      <c r="N1044" t="inlineStr">
        <is>
          <t>[9th ed.]</t>
        </is>
      </c>
      <c r="O1044" t="inlineStr">
        <is>
          <t>eng</t>
        </is>
      </c>
      <c r="P1044" t="inlineStr">
        <is>
          <t>nyu</t>
        </is>
      </c>
      <c r="R1044" t="inlineStr">
        <is>
          <t xml:space="preserve">BF </t>
        </is>
      </c>
      <c r="S1044" t="n">
        <v>1</v>
      </c>
      <c r="T1044" t="n">
        <v>1</v>
      </c>
      <c r="U1044" t="inlineStr">
        <is>
          <t>2001-01-26</t>
        </is>
      </c>
      <c r="V1044" t="inlineStr">
        <is>
          <t>2001-01-26</t>
        </is>
      </c>
      <c r="W1044" t="inlineStr">
        <is>
          <t>1996-08-05</t>
        </is>
      </c>
      <c r="X1044" t="inlineStr">
        <is>
          <t>1996-08-05</t>
        </is>
      </c>
      <c r="Y1044" t="n">
        <v>95</v>
      </c>
      <c r="Z1044" t="n">
        <v>90</v>
      </c>
      <c r="AA1044" t="n">
        <v>1361</v>
      </c>
      <c r="AB1044" t="n">
        <v>2</v>
      </c>
      <c r="AC1044" t="n">
        <v>9</v>
      </c>
      <c r="AD1044" t="n">
        <v>0</v>
      </c>
      <c r="AE1044" t="n">
        <v>40</v>
      </c>
      <c r="AF1044" t="n">
        <v>0</v>
      </c>
      <c r="AG1044" t="n">
        <v>16</v>
      </c>
      <c r="AH1044" t="n">
        <v>0</v>
      </c>
      <c r="AI1044" t="n">
        <v>7</v>
      </c>
      <c r="AJ1044" t="n">
        <v>0</v>
      </c>
      <c r="AK1044" t="n">
        <v>18</v>
      </c>
      <c r="AL1044" t="n">
        <v>0</v>
      </c>
      <c r="AM1044" t="n">
        <v>6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HYPERLINK("https://creighton-primo.hosted.exlibrisgroup.com/primo-explore/search?tab=default_tab&amp;search_scope=EVERYTHING&amp;vid=01CRU&amp;lang=en_US&amp;offset=0&amp;query=any,contains,991001290629702656","Catalog Record")</f>
        <v/>
      </c>
      <c r="AT1044">
        <f>HYPERLINK("http://www.worldcat.org/oclc/217949","WorldCat Record")</f>
        <v/>
      </c>
      <c r="AU1044" t="inlineStr">
        <is>
          <t>4820381874:eng</t>
        </is>
      </c>
      <c r="AV1044" t="inlineStr">
        <is>
          <t>217949</t>
        </is>
      </c>
      <c r="AW1044" t="inlineStr">
        <is>
          <t>991001290629702656</t>
        </is>
      </c>
      <c r="AX1044" t="inlineStr">
        <is>
          <t>991001290629702656</t>
        </is>
      </c>
      <c r="AY1044" t="inlineStr">
        <is>
          <t>2258983800002656</t>
        </is>
      </c>
      <c r="AZ1044" t="inlineStr">
        <is>
          <t>BOOK</t>
        </is>
      </c>
      <c r="BC1044" t="inlineStr">
        <is>
          <t>32285002255890</t>
        </is>
      </c>
      <c r="BD1044" t="inlineStr">
        <is>
          <t>893866132</t>
        </is>
      </c>
    </row>
    <row r="1045">
      <c r="A1045" t="inlineStr">
        <is>
          <t>No</t>
        </is>
      </c>
      <c r="B1045" t="inlineStr">
        <is>
          <t>BF721.L36 P5 1973</t>
        </is>
      </c>
      <c r="C1045" t="inlineStr">
        <is>
          <t>0                      BF 0721000L  36                 P  5           1973</t>
        </is>
      </c>
      <c r="D1045" t="inlineStr">
        <is>
          <t>Piaget's theory applied to an early childhood curriculum / Celia Stendler Lavatelli.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Lavatelli, Celia Stendler, 1911-1976.</t>
        </is>
      </c>
      <c r="L1045" t="inlineStr">
        <is>
          <t>Boston : American Science and Engineering, c1973.</t>
        </is>
      </c>
      <c r="M1045" t="inlineStr">
        <is>
          <t>1973</t>
        </is>
      </c>
      <c r="N1045" t="inlineStr">
        <is>
          <t>2d ed.</t>
        </is>
      </c>
      <c r="O1045" t="inlineStr">
        <is>
          <t>eng</t>
        </is>
      </c>
      <c r="P1045" t="inlineStr">
        <is>
          <t>mau</t>
        </is>
      </c>
      <c r="R1045" t="inlineStr">
        <is>
          <t xml:space="preserve">BF </t>
        </is>
      </c>
      <c r="S1045" t="n">
        <v>9</v>
      </c>
      <c r="T1045" t="n">
        <v>9</v>
      </c>
      <c r="U1045" t="inlineStr">
        <is>
          <t>1997-12-16</t>
        </is>
      </c>
      <c r="V1045" t="inlineStr">
        <is>
          <t>1997-12-16</t>
        </is>
      </c>
      <c r="W1045" t="inlineStr">
        <is>
          <t>1992-04-29</t>
        </is>
      </c>
      <c r="X1045" t="inlineStr">
        <is>
          <t>1992-04-29</t>
        </is>
      </c>
      <c r="Y1045" t="n">
        <v>289</v>
      </c>
      <c r="Z1045" t="n">
        <v>260</v>
      </c>
      <c r="AA1045" t="n">
        <v>494</v>
      </c>
      <c r="AB1045" t="n">
        <v>2</v>
      </c>
      <c r="AC1045" t="n">
        <v>3</v>
      </c>
      <c r="AD1045" t="n">
        <v>6</v>
      </c>
      <c r="AE1045" t="n">
        <v>13</v>
      </c>
      <c r="AF1045" t="n">
        <v>3</v>
      </c>
      <c r="AG1045" t="n">
        <v>6</v>
      </c>
      <c r="AH1045" t="n">
        <v>0</v>
      </c>
      <c r="AI1045" t="n">
        <v>2</v>
      </c>
      <c r="AJ1045" t="n">
        <v>3</v>
      </c>
      <c r="AK1045" t="n">
        <v>7</v>
      </c>
      <c r="AL1045" t="n">
        <v>0</v>
      </c>
      <c r="AM1045" t="n">
        <v>1</v>
      </c>
      <c r="AN1045" t="n">
        <v>0</v>
      </c>
      <c r="AO1045" t="n">
        <v>0</v>
      </c>
      <c r="AP1045" t="inlineStr">
        <is>
          <t>No</t>
        </is>
      </c>
      <c r="AQ1045" t="inlineStr">
        <is>
          <t>Yes</t>
        </is>
      </c>
      <c r="AR1045">
        <f>HYPERLINK("http://catalog.hathitrust.org/Record/004427450","HathiTrust Record")</f>
        <v/>
      </c>
      <c r="AS1045">
        <f>HYPERLINK("https://creighton-primo.hosted.exlibrisgroup.com/primo-explore/search?tab=default_tab&amp;search_scope=EVERYTHING&amp;vid=01CRU&amp;lang=en_US&amp;offset=0&amp;query=any,contains,991001743039702656","Catalog Record")</f>
        <v/>
      </c>
      <c r="AT1045">
        <f>HYPERLINK("http://www.worldcat.org/oclc/22015754","WorldCat Record")</f>
        <v/>
      </c>
      <c r="AU1045" t="inlineStr">
        <is>
          <t>23132539:eng</t>
        </is>
      </c>
      <c r="AV1045" t="inlineStr">
        <is>
          <t>22015754</t>
        </is>
      </c>
      <c r="AW1045" t="inlineStr">
        <is>
          <t>991001743039702656</t>
        </is>
      </c>
      <c r="AX1045" t="inlineStr">
        <is>
          <t>991001743039702656</t>
        </is>
      </c>
      <c r="AY1045" t="inlineStr">
        <is>
          <t>2272229630002656</t>
        </is>
      </c>
      <c r="AZ1045" t="inlineStr">
        <is>
          <t>BOOK</t>
        </is>
      </c>
      <c r="BC1045" t="inlineStr">
        <is>
          <t>32285001103836</t>
        </is>
      </c>
      <c r="BD1045" t="inlineStr">
        <is>
          <t>893328337</t>
        </is>
      </c>
    </row>
    <row r="1046">
      <c r="A1046" t="inlineStr">
        <is>
          <t>No</t>
        </is>
      </c>
      <c r="B1046" t="inlineStr">
        <is>
          <t>BF722 .A66</t>
        </is>
      </c>
      <c r="C1046" t="inlineStr">
        <is>
          <t>0                      BF 0722000A  66</t>
        </is>
      </c>
      <c r="D1046" t="inlineStr">
        <is>
          <t>The Application of child development research to exceptional children / James J. Gallagher, editor ; [art and design by Peter Jones ; photos. by Ellen Foscue Johnson].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L1046" t="inlineStr">
        <is>
          <t>Reston, Va. : Council for Exceptional Children, 1975.</t>
        </is>
      </c>
      <c r="M1046" t="inlineStr">
        <is>
          <t>1975</t>
        </is>
      </c>
      <c r="O1046" t="inlineStr">
        <is>
          <t>eng</t>
        </is>
      </c>
      <c r="P1046" t="inlineStr">
        <is>
          <t>vau</t>
        </is>
      </c>
      <c r="R1046" t="inlineStr">
        <is>
          <t xml:space="preserve">BF </t>
        </is>
      </c>
      <c r="S1046" t="n">
        <v>6</v>
      </c>
      <c r="T1046" t="n">
        <v>6</v>
      </c>
      <c r="U1046" t="inlineStr">
        <is>
          <t>2000-03-13</t>
        </is>
      </c>
      <c r="V1046" t="inlineStr">
        <is>
          <t>2000-03-13</t>
        </is>
      </c>
      <c r="W1046" t="inlineStr">
        <is>
          <t>1996-08-06</t>
        </is>
      </c>
      <c r="X1046" t="inlineStr">
        <is>
          <t>1996-08-06</t>
        </is>
      </c>
      <c r="Y1046" t="n">
        <v>359</v>
      </c>
      <c r="Z1046" t="n">
        <v>310</v>
      </c>
      <c r="AA1046" t="n">
        <v>314</v>
      </c>
      <c r="AB1046" t="n">
        <v>5</v>
      </c>
      <c r="AC1046" t="n">
        <v>5</v>
      </c>
      <c r="AD1046" t="n">
        <v>16</v>
      </c>
      <c r="AE1046" t="n">
        <v>16</v>
      </c>
      <c r="AF1046" t="n">
        <v>6</v>
      </c>
      <c r="AG1046" t="n">
        <v>6</v>
      </c>
      <c r="AH1046" t="n">
        <v>4</v>
      </c>
      <c r="AI1046" t="n">
        <v>4</v>
      </c>
      <c r="AJ1046" t="n">
        <v>8</v>
      </c>
      <c r="AK1046" t="n">
        <v>8</v>
      </c>
      <c r="AL1046" t="n">
        <v>3</v>
      </c>
      <c r="AM1046" t="n">
        <v>3</v>
      </c>
      <c r="AN1046" t="n">
        <v>0</v>
      </c>
      <c r="AO1046" t="n">
        <v>0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HYPERLINK("http://catalog.hathitrust.org/Record/000715437","HathiTrust Record")</f>
        <v/>
      </c>
      <c r="AS1046">
        <f>HYPERLINK("https://creighton-primo.hosted.exlibrisgroup.com/primo-explore/search?tab=default_tab&amp;search_scope=EVERYTHING&amp;vid=01CRU&amp;lang=en_US&amp;offset=0&amp;query=any,contains,991004408149702656","Catalog Record")</f>
        <v/>
      </c>
      <c r="AT1046">
        <f>HYPERLINK("http://www.worldcat.org/oclc/3328941","WorldCat Record")</f>
        <v/>
      </c>
      <c r="AU1046" t="inlineStr">
        <is>
          <t>54183831:eng</t>
        </is>
      </c>
      <c r="AV1046" t="inlineStr">
        <is>
          <t>3328941</t>
        </is>
      </c>
      <c r="AW1046" t="inlineStr">
        <is>
          <t>991004408149702656</t>
        </is>
      </c>
      <c r="AX1046" t="inlineStr">
        <is>
          <t>991004408149702656</t>
        </is>
      </c>
      <c r="AY1046" t="inlineStr">
        <is>
          <t>2266652840002656</t>
        </is>
      </c>
      <c r="AZ1046" t="inlineStr">
        <is>
          <t>BOOK</t>
        </is>
      </c>
      <c r="BC1046" t="inlineStr">
        <is>
          <t>32285002255916</t>
        </is>
      </c>
      <c r="BD1046" t="inlineStr">
        <is>
          <t>893882446</t>
        </is>
      </c>
    </row>
    <row r="1047">
      <c r="A1047" t="inlineStr">
        <is>
          <t>No</t>
        </is>
      </c>
      <c r="B1047" t="inlineStr">
        <is>
          <t>BF722 .F87 1985</t>
        </is>
      </c>
      <c r="C1047" t="inlineStr">
        <is>
          <t>0                      BF 0722000F  87          1985</t>
        </is>
      </c>
      <c r="D1047" t="inlineStr">
        <is>
          <t>The Future of Piagetian theory : the neo-Piagetians / edited by Valerie L. Shulman, Lillian C.R. Restaino-Baumann, and Loretta Butler.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L1047" t="inlineStr">
        <is>
          <t>New York : Plenum Press, c1985.</t>
        </is>
      </c>
      <c r="M1047" t="inlineStr">
        <is>
          <t>1985</t>
        </is>
      </c>
      <c r="O1047" t="inlineStr">
        <is>
          <t>eng</t>
        </is>
      </c>
      <c r="P1047" t="inlineStr">
        <is>
          <t>nyu</t>
        </is>
      </c>
      <c r="R1047" t="inlineStr">
        <is>
          <t xml:space="preserve">BF </t>
        </is>
      </c>
      <c r="S1047" t="n">
        <v>5</v>
      </c>
      <c r="T1047" t="n">
        <v>5</v>
      </c>
      <c r="U1047" t="inlineStr">
        <is>
          <t>2007-04-25</t>
        </is>
      </c>
      <c r="V1047" t="inlineStr">
        <is>
          <t>2007-04-25</t>
        </is>
      </c>
      <c r="W1047" t="inlineStr">
        <is>
          <t>1993-04-07</t>
        </is>
      </c>
      <c r="X1047" t="inlineStr">
        <is>
          <t>1993-04-07</t>
        </is>
      </c>
      <c r="Y1047" t="n">
        <v>547</v>
      </c>
      <c r="Z1047" t="n">
        <v>403</v>
      </c>
      <c r="AA1047" t="n">
        <v>422</v>
      </c>
      <c r="AB1047" t="n">
        <v>4</v>
      </c>
      <c r="AC1047" t="n">
        <v>4</v>
      </c>
      <c r="AD1047" t="n">
        <v>21</v>
      </c>
      <c r="AE1047" t="n">
        <v>23</v>
      </c>
      <c r="AF1047" t="n">
        <v>4</v>
      </c>
      <c r="AG1047" t="n">
        <v>6</v>
      </c>
      <c r="AH1047" t="n">
        <v>7</v>
      </c>
      <c r="AI1047" t="n">
        <v>7</v>
      </c>
      <c r="AJ1047" t="n">
        <v>11</v>
      </c>
      <c r="AK1047" t="n">
        <v>12</v>
      </c>
      <c r="AL1047" t="n">
        <v>3</v>
      </c>
      <c r="AM1047" t="n">
        <v>3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Yes</t>
        </is>
      </c>
      <c r="AR1047">
        <f>HYPERLINK("http://catalog.hathitrust.org/Record/000572416","HathiTrust Record")</f>
        <v/>
      </c>
      <c r="AS1047">
        <f>HYPERLINK("https://creighton-primo.hosted.exlibrisgroup.com/primo-explore/search?tab=default_tab&amp;search_scope=EVERYTHING&amp;vid=01CRU&amp;lang=en_US&amp;offset=0&amp;query=any,contains,991000622359702656","Catalog Record")</f>
        <v/>
      </c>
      <c r="AT1047">
        <f>HYPERLINK("http://www.worldcat.org/oclc/11972529","WorldCat Record")</f>
        <v/>
      </c>
      <c r="AU1047" t="inlineStr">
        <is>
          <t>836709358:eng</t>
        </is>
      </c>
      <c r="AV1047" t="inlineStr">
        <is>
          <t>11972529</t>
        </is>
      </c>
      <c r="AW1047" t="inlineStr">
        <is>
          <t>991000622359702656</t>
        </is>
      </c>
      <c r="AX1047" t="inlineStr">
        <is>
          <t>991000622359702656</t>
        </is>
      </c>
      <c r="AY1047" t="inlineStr">
        <is>
          <t>2255758030002656</t>
        </is>
      </c>
      <c r="AZ1047" t="inlineStr">
        <is>
          <t>BOOK</t>
        </is>
      </c>
      <c r="BB1047" t="inlineStr">
        <is>
          <t>9780306419409</t>
        </is>
      </c>
      <c r="BC1047" t="inlineStr">
        <is>
          <t>32285001604114</t>
        </is>
      </c>
      <c r="BD1047" t="inlineStr">
        <is>
          <t>893339729</t>
        </is>
      </c>
    </row>
    <row r="1048">
      <c r="A1048" t="inlineStr">
        <is>
          <t>No</t>
        </is>
      </c>
      <c r="B1048" t="inlineStr">
        <is>
          <t>BF722 .G62 1983</t>
        </is>
      </c>
      <c r="C1048" t="inlineStr">
        <is>
          <t>0                      BF 0722000G  62          1983</t>
        </is>
      </c>
      <c r="D1048" t="inlineStr">
        <is>
          <t>Psychological methods of child assessment / Jacquelin Goldman, Claudia L'Engle Stein, Shirley Guerry.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Goldman, Jacquelin.</t>
        </is>
      </c>
      <c r="L1048" t="inlineStr">
        <is>
          <t>New York : Brunner/Mazel, c1983.</t>
        </is>
      </c>
      <c r="M1048" t="inlineStr">
        <is>
          <t>1983</t>
        </is>
      </c>
      <c r="O1048" t="inlineStr">
        <is>
          <t>eng</t>
        </is>
      </c>
      <c r="P1048" t="inlineStr">
        <is>
          <t>nyu</t>
        </is>
      </c>
      <c r="R1048" t="inlineStr">
        <is>
          <t xml:space="preserve">BF </t>
        </is>
      </c>
      <c r="S1048" t="n">
        <v>7</v>
      </c>
      <c r="T1048" t="n">
        <v>7</v>
      </c>
      <c r="U1048" t="inlineStr">
        <is>
          <t>2000-01-24</t>
        </is>
      </c>
      <c r="V1048" t="inlineStr">
        <is>
          <t>2000-01-24</t>
        </is>
      </c>
      <c r="W1048" t="inlineStr">
        <is>
          <t>1993-04-07</t>
        </is>
      </c>
      <c r="X1048" t="inlineStr">
        <is>
          <t>1993-04-07</t>
        </is>
      </c>
      <c r="Y1048" t="n">
        <v>579</v>
      </c>
      <c r="Z1048" t="n">
        <v>495</v>
      </c>
      <c r="AA1048" t="n">
        <v>508</v>
      </c>
      <c r="AB1048" t="n">
        <v>5</v>
      </c>
      <c r="AC1048" t="n">
        <v>5</v>
      </c>
      <c r="AD1048" t="n">
        <v>21</v>
      </c>
      <c r="AE1048" t="n">
        <v>21</v>
      </c>
      <c r="AF1048" t="n">
        <v>7</v>
      </c>
      <c r="AG1048" t="n">
        <v>7</v>
      </c>
      <c r="AH1048" t="n">
        <v>6</v>
      </c>
      <c r="AI1048" t="n">
        <v>6</v>
      </c>
      <c r="AJ1048" t="n">
        <v>9</v>
      </c>
      <c r="AK1048" t="n">
        <v>9</v>
      </c>
      <c r="AL1048" t="n">
        <v>4</v>
      </c>
      <c r="AM1048" t="n">
        <v>4</v>
      </c>
      <c r="AN1048" t="n">
        <v>0</v>
      </c>
      <c r="AO1048" t="n">
        <v>0</v>
      </c>
      <c r="AP1048" t="inlineStr">
        <is>
          <t>No</t>
        </is>
      </c>
      <c r="AQ1048" t="inlineStr">
        <is>
          <t>No</t>
        </is>
      </c>
      <c r="AS1048">
        <f>HYPERLINK("https://creighton-primo.hosted.exlibrisgroup.com/primo-explore/search?tab=default_tab&amp;search_scope=EVERYTHING&amp;vid=01CRU&amp;lang=en_US&amp;offset=0&amp;query=any,contains,991000301549702656","Catalog Record")</f>
        <v/>
      </c>
      <c r="AT1048">
        <f>HYPERLINK("http://www.worldcat.org/oclc/10022799","WorldCat Record")</f>
        <v/>
      </c>
      <c r="AU1048" t="inlineStr">
        <is>
          <t>3444650:eng</t>
        </is>
      </c>
      <c r="AV1048" t="inlineStr">
        <is>
          <t>10022799</t>
        </is>
      </c>
      <c r="AW1048" t="inlineStr">
        <is>
          <t>991000301549702656</t>
        </is>
      </c>
      <c r="AX1048" t="inlineStr">
        <is>
          <t>991000301549702656</t>
        </is>
      </c>
      <c r="AY1048" t="inlineStr">
        <is>
          <t>2268520810002656</t>
        </is>
      </c>
      <c r="AZ1048" t="inlineStr">
        <is>
          <t>BOOK</t>
        </is>
      </c>
      <c r="BB1048" t="inlineStr">
        <is>
          <t>9780876303481</t>
        </is>
      </c>
      <c r="BC1048" t="inlineStr">
        <is>
          <t>32285001604122</t>
        </is>
      </c>
      <c r="BD1048" t="inlineStr">
        <is>
          <t>893614076</t>
        </is>
      </c>
    </row>
    <row r="1049">
      <c r="A1049" t="inlineStr">
        <is>
          <t>No</t>
        </is>
      </c>
      <c r="B1049" t="inlineStr">
        <is>
          <t>BF722 .M4</t>
        </is>
      </c>
      <c r="C1049" t="inlineStr">
        <is>
          <t>0                      BF 0722000M  4</t>
        </is>
      </c>
      <c r="D1049" t="inlineStr">
        <is>
          <t>Child study and observation guide / Gene R. Medinnus.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Medinnus, Gene Roland.</t>
        </is>
      </c>
      <c r="L1049" t="inlineStr">
        <is>
          <t>New York : Wiley, [1976]</t>
        </is>
      </c>
      <c r="M1049" t="inlineStr">
        <is>
          <t>1975</t>
        </is>
      </c>
      <c r="O1049" t="inlineStr">
        <is>
          <t>eng</t>
        </is>
      </c>
      <c r="P1049" t="inlineStr">
        <is>
          <t>nyu</t>
        </is>
      </c>
      <c r="R1049" t="inlineStr">
        <is>
          <t xml:space="preserve">BF </t>
        </is>
      </c>
      <c r="S1049" t="n">
        <v>3</v>
      </c>
      <c r="T1049" t="n">
        <v>3</v>
      </c>
      <c r="U1049" t="inlineStr">
        <is>
          <t>2003-07-18</t>
        </is>
      </c>
      <c r="V1049" t="inlineStr">
        <is>
          <t>2003-07-18</t>
        </is>
      </c>
      <c r="W1049" t="inlineStr">
        <is>
          <t>1993-04-07</t>
        </is>
      </c>
      <c r="X1049" t="inlineStr">
        <is>
          <t>1993-04-07</t>
        </is>
      </c>
      <c r="Y1049" t="n">
        <v>379</v>
      </c>
      <c r="Z1049" t="n">
        <v>260</v>
      </c>
      <c r="AA1049" t="n">
        <v>279</v>
      </c>
      <c r="AB1049" t="n">
        <v>4</v>
      </c>
      <c r="AC1049" t="n">
        <v>4</v>
      </c>
      <c r="AD1049" t="n">
        <v>10</v>
      </c>
      <c r="AE1049" t="n">
        <v>11</v>
      </c>
      <c r="AF1049" t="n">
        <v>4</v>
      </c>
      <c r="AG1049" t="n">
        <v>4</v>
      </c>
      <c r="AH1049" t="n">
        <v>1</v>
      </c>
      <c r="AI1049" t="n">
        <v>1</v>
      </c>
      <c r="AJ1049" t="n">
        <v>4</v>
      </c>
      <c r="AK1049" t="n">
        <v>5</v>
      </c>
      <c r="AL1049" t="n">
        <v>3</v>
      </c>
      <c r="AM1049" t="n">
        <v>3</v>
      </c>
      <c r="AN1049" t="n">
        <v>0</v>
      </c>
      <c r="AO1049" t="n">
        <v>0</v>
      </c>
      <c r="AP1049" t="inlineStr">
        <is>
          <t>No</t>
        </is>
      </c>
      <c r="AQ1049" t="inlineStr">
        <is>
          <t>Yes</t>
        </is>
      </c>
      <c r="AR1049">
        <f>HYPERLINK("http://catalog.hathitrust.org/Record/000018808","HathiTrust Record")</f>
        <v/>
      </c>
      <c r="AS1049">
        <f>HYPERLINK("https://creighton-primo.hosted.exlibrisgroup.com/primo-explore/search?tab=default_tab&amp;search_scope=EVERYTHING&amp;vid=01CRU&amp;lang=en_US&amp;offset=0&amp;query=any,contains,991003721679702656","Catalog Record")</f>
        <v/>
      </c>
      <c r="AT1049">
        <f>HYPERLINK("http://www.worldcat.org/oclc/1366298","WorldCat Record")</f>
        <v/>
      </c>
      <c r="AU1049" t="inlineStr">
        <is>
          <t>2274694:eng</t>
        </is>
      </c>
      <c r="AV1049" t="inlineStr">
        <is>
          <t>1366298</t>
        </is>
      </c>
      <c r="AW1049" t="inlineStr">
        <is>
          <t>991003721679702656</t>
        </is>
      </c>
      <c r="AX1049" t="inlineStr">
        <is>
          <t>991003721679702656</t>
        </is>
      </c>
      <c r="AY1049" t="inlineStr">
        <is>
          <t>2255206220002656</t>
        </is>
      </c>
      <c r="AZ1049" t="inlineStr">
        <is>
          <t>BOOK</t>
        </is>
      </c>
      <c r="BB1049" t="inlineStr">
        <is>
          <t>9780471590248</t>
        </is>
      </c>
      <c r="BC1049" t="inlineStr">
        <is>
          <t>32285001604130</t>
        </is>
      </c>
      <c r="BD1049" t="inlineStr">
        <is>
          <t>893512279</t>
        </is>
      </c>
    </row>
    <row r="1050">
      <c r="A1050" t="inlineStr">
        <is>
          <t>No</t>
        </is>
      </c>
      <c r="B1050" t="inlineStr">
        <is>
          <t>BF722 .T47 1984</t>
        </is>
      </c>
      <c r="C1050" t="inlineStr">
        <is>
          <t>0                      BF 0722000T  47          1984</t>
        </is>
      </c>
      <c r="D1050" t="inlineStr">
        <is>
          <t>Testing children : a reference guide for effective clinical and psychoeducational assessments / S. Joseph Weaver, general editor ; foreword by Alan S. Kaufman.</t>
        </is>
      </c>
      <c r="F1050" t="inlineStr">
        <is>
          <t>No</t>
        </is>
      </c>
      <c r="G1050" t="inlineStr">
        <is>
          <t>1</t>
        </is>
      </c>
      <c r="H1050" t="inlineStr">
        <is>
          <t>Yes</t>
        </is>
      </c>
      <c r="I1050" t="inlineStr">
        <is>
          <t>No</t>
        </is>
      </c>
      <c r="J1050" t="inlineStr">
        <is>
          <t>0</t>
        </is>
      </c>
      <c r="L1050" t="inlineStr">
        <is>
          <t>Kansas City, Mo. : Test Corp. of America, [1984]</t>
        </is>
      </c>
      <c r="M1050" t="inlineStr">
        <is>
          <t>1984</t>
        </is>
      </c>
      <c r="O1050" t="inlineStr">
        <is>
          <t>eng</t>
        </is>
      </c>
      <c r="P1050" t="inlineStr">
        <is>
          <t>mou</t>
        </is>
      </c>
      <c r="R1050" t="inlineStr">
        <is>
          <t xml:space="preserve">BF </t>
        </is>
      </c>
      <c r="S1050" t="n">
        <v>2</v>
      </c>
      <c r="T1050" t="n">
        <v>4</v>
      </c>
      <c r="U1050" t="inlineStr">
        <is>
          <t>1994-10-11</t>
        </is>
      </c>
      <c r="V1050" t="inlineStr">
        <is>
          <t>1997-01-21</t>
        </is>
      </c>
      <c r="W1050" t="inlineStr">
        <is>
          <t>1993-04-07</t>
        </is>
      </c>
      <c r="X1050" t="inlineStr">
        <is>
          <t>1993-04-07</t>
        </is>
      </c>
      <c r="Y1050" t="n">
        <v>687</v>
      </c>
      <c r="Z1050" t="n">
        <v>609</v>
      </c>
      <c r="AA1050" t="n">
        <v>614</v>
      </c>
      <c r="AB1050" t="n">
        <v>6</v>
      </c>
      <c r="AC1050" t="n">
        <v>6</v>
      </c>
      <c r="AD1050" t="n">
        <v>29</v>
      </c>
      <c r="AE1050" t="n">
        <v>29</v>
      </c>
      <c r="AF1050" t="n">
        <v>14</v>
      </c>
      <c r="AG1050" t="n">
        <v>14</v>
      </c>
      <c r="AH1050" t="n">
        <v>6</v>
      </c>
      <c r="AI1050" t="n">
        <v>6</v>
      </c>
      <c r="AJ1050" t="n">
        <v>14</v>
      </c>
      <c r="AK1050" t="n">
        <v>14</v>
      </c>
      <c r="AL1050" t="n">
        <v>4</v>
      </c>
      <c r="AM1050" t="n">
        <v>4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HYPERLINK("http://catalog.hathitrust.org/Record/000608436","HathiTrust Record")</f>
        <v/>
      </c>
      <c r="AS1050">
        <f>HYPERLINK("https://creighton-primo.hosted.exlibrisgroup.com/primo-explore/search?tab=default_tab&amp;search_scope=EVERYTHING&amp;vid=01CRU&amp;lang=en_US&amp;offset=0&amp;query=any,contains,991001762769702656","Catalog Record")</f>
        <v/>
      </c>
      <c r="AT1050">
        <f>HYPERLINK("http://www.worldcat.org/oclc/10925015","WorldCat Record")</f>
        <v/>
      </c>
      <c r="AU1050" t="inlineStr">
        <is>
          <t>894509852:eng</t>
        </is>
      </c>
      <c r="AV1050" t="inlineStr">
        <is>
          <t>10925015</t>
        </is>
      </c>
      <c r="AW1050" t="inlineStr">
        <is>
          <t>991001762769702656</t>
        </is>
      </c>
      <c r="AX1050" t="inlineStr">
        <is>
          <t>991001762769702656</t>
        </is>
      </c>
      <c r="AY1050" t="inlineStr">
        <is>
          <t>2272712490002656</t>
        </is>
      </c>
      <c r="AZ1050" t="inlineStr">
        <is>
          <t>BOOK</t>
        </is>
      </c>
      <c r="BB1050" t="inlineStr">
        <is>
          <t>9780961128623</t>
        </is>
      </c>
      <c r="BC1050" t="inlineStr">
        <is>
          <t>32285001604155</t>
        </is>
      </c>
      <c r="BD1050" t="inlineStr">
        <is>
          <t>893703308</t>
        </is>
      </c>
    </row>
    <row r="1051">
      <c r="A1051" t="inlineStr">
        <is>
          <t>No</t>
        </is>
      </c>
      <c r="B1051" t="inlineStr">
        <is>
          <t>BF722 .V37</t>
        </is>
      </c>
      <c r="C1051" t="inlineStr">
        <is>
          <t>0                      BF 0722000V  37</t>
        </is>
      </c>
      <c r="D1051" t="inlineStr">
        <is>
          <t>Studying children : an introduction to research methods / Ross Vasta.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Vasta, Ross.</t>
        </is>
      </c>
      <c r="L1051" t="inlineStr">
        <is>
          <t>San Francisco : W. H. Freeman, c1979.</t>
        </is>
      </c>
      <c r="M1051" t="inlineStr">
        <is>
          <t>1979</t>
        </is>
      </c>
      <c r="O1051" t="inlineStr">
        <is>
          <t>eng</t>
        </is>
      </c>
      <c r="P1051" t="inlineStr">
        <is>
          <t>cau</t>
        </is>
      </c>
      <c r="Q1051" t="inlineStr">
        <is>
          <t>A Series of books in psychology</t>
        </is>
      </c>
      <c r="R1051" t="inlineStr">
        <is>
          <t xml:space="preserve">BF </t>
        </is>
      </c>
      <c r="S1051" t="n">
        <v>3</v>
      </c>
      <c r="T1051" t="n">
        <v>3</v>
      </c>
      <c r="U1051" t="inlineStr">
        <is>
          <t>1995-11-01</t>
        </is>
      </c>
      <c r="V1051" t="inlineStr">
        <is>
          <t>1995-11-01</t>
        </is>
      </c>
      <c r="W1051" t="inlineStr">
        <is>
          <t>1993-04-07</t>
        </is>
      </c>
      <c r="X1051" t="inlineStr">
        <is>
          <t>1993-04-07</t>
        </is>
      </c>
      <c r="Y1051" t="n">
        <v>441</v>
      </c>
      <c r="Z1051" t="n">
        <v>312</v>
      </c>
      <c r="AA1051" t="n">
        <v>317</v>
      </c>
      <c r="AB1051" t="n">
        <v>2</v>
      </c>
      <c r="AC1051" t="n">
        <v>2</v>
      </c>
      <c r="AD1051" t="n">
        <v>12</v>
      </c>
      <c r="AE1051" t="n">
        <v>12</v>
      </c>
      <c r="AF1051" t="n">
        <v>8</v>
      </c>
      <c r="AG1051" t="n">
        <v>8</v>
      </c>
      <c r="AH1051" t="n">
        <v>2</v>
      </c>
      <c r="AI1051" t="n">
        <v>2</v>
      </c>
      <c r="AJ1051" t="n">
        <v>7</v>
      </c>
      <c r="AK1051" t="n">
        <v>7</v>
      </c>
      <c r="AL1051" t="n">
        <v>0</v>
      </c>
      <c r="AM1051" t="n">
        <v>0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No</t>
        </is>
      </c>
      <c r="AS1051">
        <f>HYPERLINK("https://creighton-primo.hosted.exlibrisgroup.com/primo-explore/search?tab=default_tab&amp;search_scope=EVERYTHING&amp;vid=01CRU&amp;lang=en_US&amp;offset=0&amp;query=any,contains,991004647869702656","Catalog Record")</f>
        <v/>
      </c>
      <c r="AT1051">
        <f>HYPERLINK("http://www.worldcat.org/oclc/4492727","WorldCat Record")</f>
        <v/>
      </c>
      <c r="AU1051" t="inlineStr">
        <is>
          <t>889961708:eng</t>
        </is>
      </c>
      <c r="AV1051" t="inlineStr">
        <is>
          <t>4492727</t>
        </is>
      </c>
      <c r="AW1051" t="inlineStr">
        <is>
          <t>991004647869702656</t>
        </is>
      </c>
      <c r="AX1051" t="inlineStr">
        <is>
          <t>991004647869702656</t>
        </is>
      </c>
      <c r="AY1051" t="inlineStr">
        <is>
          <t>2263552760002656</t>
        </is>
      </c>
      <c r="AZ1051" t="inlineStr">
        <is>
          <t>BOOK</t>
        </is>
      </c>
      <c r="BB1051" t="inlineStr">
        <is>
          <t>9780716710677</t>
        </is>
      </c>
      <c r="BC1051" t="inlineStr">
        <is>
          <t>32285001604171</t>
        </is>
      </c>
      <c r="BD1051" t="inlineStr">
        <is>
          <t>893319483</t>
        </is>
      </c>
    </row>
    <row r="1052">
      <c r="A1052" t="inlineStr">
        <is>
          <t>No</t>
        </is>
      </c>
      <c r="B1052" t="inlineStr">
        <is>
          <t>BF723.A25 W47</t>
        </is>
      </c>
      <c r="C1052" t="inlineStr">
        <is>
          <t>0                      BF 0723000A  25                 W  47</t>
        </is>
      </c>
      <c r="D1052" t="inlineStr">
        <is>
          <t>The origins of human competence : the final report of the Harvard Preschool Project / Burton L. White, Barbara T. Kaban, Jane S. Attanucci.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White, Burton L., 1929-</t>
        </is>
      </c>
      <c r="L1052" t="inlineStr">
        <is>
          <t>Lexington, Mass. : Lexington Books, c1979.</t>
        </is>
      </c>
      <c r="M1052" t="inlineStr">
        <is>
          <t>1979</t>
        </is>
      </c>
      <c r="O1052" t="inlineStr">
        <is>
          <t>eng</t>
        </is>
      </c>
      <c r="P1052" t="inlineStr">
        <is>
          <t>mau</t>
        </is>
      </c>
      <c r="R1052" t="inlineStr">
        <is>
          <t xml:space="preserve">BF </t>
        </is>
      </c>
      <c r="S1052" t="n">
        <v>20</v>
      </c>
      <c r="T1052" t="n">
        <v>20</v>
      </c>
      <c r="U1052" t="inlineStr">
        <is>
          <t>1997-09-29</t>
        </is>
      </c>
      <c r="V1052" t="inlineStr">
        <is>
          <t>1997-09-29</t>
        </is>
      </c>
      <c r="W1052" t="inlineStr">
        <is>
          <t>1990-04-06</t>
        </is>
      </c>
      <c r="X1052" t="inlineStr">
        <is>
          <t>1990-04-06</t>
        </is>
      </c>
      <c r="Y1052" t="n">
        <v>860</v>
      </c>
      <c r="Z1052" t="n">
        <v>708</v>
      </c>
      <c r="AA1052" t="n">
        <v>715</v>
      </c>
      <c r="AB1052" t="n">
        <v>5</v>
      </c>
      <c r="AC1052" t="n">
        <v>5</v>
      </c>
      <c r="AD1052" t="n">
        <v>21</v>
      </c>
      <c r="AE1052" t="n">
        <v>21</v>
      </c>
      <c r="AF1052" t="n">
        <v>9</v>
      </c>
      <c r="AG1052" t="n">
        <v>9</v>
      </c>
      <c r="AH1052" t="n">
        <v>4</v>
      </c>
      <c r="AI1052" t="n">
        <v>4</v>
      </c>
      <c r="AJ1052" t="n">
        <v>11</v>
      </c>
      <c r="AK1052" t="n">
        <v>11</v>
      </c>
      <c r="AL1052" t="n">
        <v>3</v>
      </c>
      <c r="AM1052" t="n">
        <v>3</v>
      </c>
      <c r="AN1052" t="n">
        <v>0</v>
      </c>
      <c r="AO1052" t="n">
        <v>0</v>
      </c>
      <c r="AP1052" t="inlineStr">
        <is>
          <t>No</t>
        </is>
      </c>
      <c r="AQ1052" t="inlineStr">
        <is>
          <t>Yes</t>
        </is>
      </c>
      <c r="AR1052">
        <f>HYPERLINK("http://catalog.hathitrust.org/Record/000260210","HathiTrust Record")</f>
        <v/>
      </c>
      <c r="AS1052">
        <f>HYPERLINK("https://creighton-primo.hosted.exlibrisgroup.com/primo-explore/search?tab=default_tab&amp;search_scope=EVERYTHING&amp;vid=01CRU&amp;lang=en_US&amp;offset=0&amp;query=any,contains,991004697049702656","Catalog Record")</f>
        <v/>
      </c>
      <c r="AT1052">
        <f>HYPERLINK("http://www.worldcat.org/oclc/4642273","WorldCat Record")</f>
        <v/>
      </c>
      <c r="AU1052" t="inlineStr">
        <is>
          <t>9461099:eng</t>
        </is>
      </c>
      <c r="AV1052" t="inlineStr">
        <is>
          <t>4642273</t>
        </is>
      </c>
      <c r="AW1052" t="inlineStr">
        <is>
          <t>991004697049702656</t>
        </is>
      </c>
      <c r="AX1052" t="inlineStr">
        <is>
          <t>991004697049702656</t>
        </is>
      </c>
      <c r="AY1052" t="inlineStr">
        <is>
          <t>2257996160002656</t>
        </is>
      </c>
      <c r="AZ1052" t="inlineStr">
        <is>
          <t>BOOK</t>
        </is>
      </c>
      <c r="BB1052" t="inlineStr">
        <is>
          <t>9780669019438</t>
        </is>
      </c>
      <c r="BC1052" t="inlineStr">
        <is>
          <t>32285000112184</t>
        </is>
      </c>
      <c r="BD1052" t="inlineStr">
        <is>
          <t>893411848</t>
        </is>
      </c>
    </row>
    <row r="1053">
      <c r="A1053" t="inlineStr">
        <is>
          <t>No</t>
        </is>
      </c>
      <c r="B1053" t="inlineStr">
        <is>
          <t>BF723.A28 M35 1987</t>
        </is>
      </c>
      <c r="C1053" t="inlineStr">
        <is>
          <t>0                      BF 0723000A  28                 M  35          1987</t>
        </is>
      </c>
      <c r="D1053" t="inlineStr">
        <is>
          <t>The Malleability of children / edited by James J. Gallagher and Craig T. Ramey.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L1053" t="inlineStr">
        <is>
          <t>Baltimore : P.H. Brookes Pub. Co., c1987.</t>
        </is>
      </c>
      <c r="M1053" t="inlineStr">
        <is>
          <t>1987</t>
        </is>
      </c>
      <c r="O1053" t="inlineStr">
        <is>
          <t>eng</t>
        </is>
      </c>
      <c r="P1053" t="inlineStr">
        <is>
          <t>mdu</t>
        </is>
      </c>
      <c r="R1053" t="inlineStr">
        <is>
          <t xml:space="preserve">BF </t>
        </is>
      </c>
      <c r="S1053" t="n">
        <v>3</v>
      </c>
      <c r="T1053" t="n">
        <v>3</v>
      </c>
      <c r="U1053" t="inlineStr">
        <is>
          <t>1994-10-12</t>
        </is>
      </c>
      <c r="V1053" t="inlineStr">
        <is>
          <t>1994-10-12</t>
        </is>
      </c>
      <c r="W1053" t="inlineStr">
        <is>
          <t>1993-04-27</t>
        </is>
      </c>
      <c r="X1053" t="inlineStr">
        <is>
          <t>1993-04-27</t>
        </is>
      </c>
      <c r="Y1053" t="n">
        <v>313</v>
      </c>
      <c r="Z1053" t="n">
        <v>259</v>
      </c>
      <c r="AA1053" t="n">
        <v>259</v>
      </c>
      <c r="AB1053" t="n">
        <v>3</v>
      </c>
      <c r="AC1053" t="n">
        <v>3</v>
      </c>
      <c r="AD1053" t="n">
        <v>13</v>
      </c>
      <c r="AE1053" t="n">
        <v>13</v>
      </c>
      <c r="AF1053" t="n">
        <v>5</v>
      </c>
      <c r="AG1053" t="n">
        <v>5</v>
      </c>
      <c r="AH1053" t="n">
        <v>4</v>
      </c>
      <c r="AI1053" t="n">
        <v>4</v>
      </c>
      <c r="AJ1053" t="n">
        <v>5</v>
      </c>
      <c r="AK1053" t="n">
        <v>5</v>
      </c>
      <c r="AL1053" t="n">
        <v>2</v>
      </c>
      <c r="AM1053" t="n">
        <v>2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No</t>
        </is>
      </c>
      <c r="AS1053">
        <f>HYPERLINK("https://creighton-primo.hosted.exlibrisgroup.com/primo-explore/search?tab=default_tab&amp;search_scope=EVERYTHING&amp;vid=01CRU&amp;lang=en_US&amp;offset=0&amp;query=any,contains,991000975139702656","Catalog Record")</f>
        <v/>
      </c>
      <c r="AT1053">
        <f>HYPERLINK("http://www.worldcat.org/oclc/15014891","WorldCat Record")</f>
        <v/>
      </c>
      <c r="AU1053" t="inlineStr">
        <is>
          <t>475510191:eng</t>
        </is>
      </c>
      <c r="AV1053" t="inlineStr">
        <is>
          <t>15014891</t>
        </is>
      </c>
      <c r="AW1053" t="inlineStr">
        <is>
          <t>991000975139702656</t>
        </is>
      </c>
      <c r="AX1053" t="inlineStr">
        <is>
          <t>991000975139702656</t>
        </is>
      </c>
      <c r="AY1053" t="inlineStr">
        <is>
          <t>2272179740002656</t>
        </is>
      </c>
      <c r="AZ1053" t="inlineStr">
        <is>
          <t>BOOK</t>
        </is>
      </c>
      <c r="BB1053" t="inlineStr">
        <is>
          <t>9780933716780</t>
        </is>
      </c>
      <c r="BC1053" t="inlineStr">
        <is>
          <t>32285001627958</t>
        </is>
      </c>
      <c r="BD1053" t="inlineStr">
        <is>
          <t>893509271</t>
        </is>
      </c>
    </row>
    <row r="1054">
      <c r="A1054" t="inlineStr">
        <is>
          <t>No</t>
        </is>
      </c>
      <c r="B1054" t="inlineStr">
        <is>
          <t>BF723.A35 E75</t>
        </is>
      </c>
      <c r="C1054" t="inlineStr">
        <is>
          <t>0                      BF 0723000A  35                 E  75</t>
        </is>
      </c>
      <c r="D1054" t="inlineStr">
        <is>
          <t>Learning of aggression in children / [by] Leonard D. Eron, Leopold O. Walder [and] Monroe M. Lefkowitz.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Eron, Leonard D.</t>
        </is>
      </c>
      <c r="L1054" t="inlineStr">
        <is>
          <t>Boston : Little, Brown, [1971]</t>
        </is>
      </c>
      <c r="M1054" t="inlineStr">
        <is>
          <t>1971</t>
        </is>
      </c>
      <c r="O1054" t="inlineStr">
        <is>
          <t>eng</t>
        </is>
      </c>
      <c r="P1054" t="inlineStr">
        <is>
          <t>mau</t>
        </is>
      </c>
      <c r="R1054" t="inlineStr">
        <is>
          <t xml:space="preserve">BF </t>
        </is>
      </c>
      <c r="S1054" t="n">
        <v>16</v>
      </c>
      <c r="T1054" t="n">
        <v>16</v>
      </c>
      <c r="U1054" t="inlineStr">
        <is>
          <t>1998-10-15</t>
        </is>
      </c>
      <c r="V1054" t="inlineStr">
        <is>
          <t>1998-10-15</t>
        </is>
      </c>
      <c r="W1054" t="inlineStr">
        <is>
          <t>1992-11-07</t>
        </is>
      </c>
      <c r="X1054" t="inlineStr">
        <is>
          <t>1992-11-07</t>
        </is>
      </c>
      <c r="Y1054" t="n">
        <v>548</v>
      </c>
      <c r="Z1054" t="n">
        <v>443</v>
      </c>
      <c r="AA1054" t="n">
        <v>452</v>
      </c>
      <c r="AB1054" t="n">
        <v>5</v>
      </c>
      <c r="AC1054" t="n">
        <v>5</v>
      </c>
      <c r="AD1054" t="n">
        <v>14</v>
      </c>
      <c r="AE1054" t="n">
        <v>14</v>
      </c>
      <c r="AF1054" t="n">
        <v>4</v>
      </c>
      <c r="AG1054" t="n">
        <v>4</v>
      </c>
      <c r="AH1054" t="n">
        <v>4</v>
      </c>
      <c r="AI1054" t="n">
        <v>4</v>
      </c>
      <c r="AJ1054" t="n">
        <v>6</v>
      </c>
      <c r="AK1054" t="n">
        <v>6</v>
      </c>
      <c r="AL1054" t="n">
        <v>2</v>
      </c>
      <c r="AM1054" t="n">
        <v>2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Yes</t>
        </is>
      </c>
      <c r="AR1054">
        <f>HYPERLINK("http://catalog.hathitrust.org/Record/000429444","HathiTrust Record")</f>
        <v/>
      </c>
      <c r="AS1054">
        <f>HYPERLINK("https://creighton-primo.hosted.exlibrisgroup.com/primo-explore/search?tab=default_tab&amp;search_scope=EVERYTHING&amp;vid=01CRU&amp;lang=en_US&amp;offset=0&amp;query=any,contains,991001217189702656","Catalog Record")</f>
        <v/>
      </c>
      <c r="AT1054">
        <f>HYPERLINK("http://www.worldcat.org/oclc/194850","WorldCat Record")</f>
        <v/>
      </c>
      <c r="AU1054" t="inlineStr">
        <is>
          <t>1361563:eng</t>
        </is>
      </c>
      <c r="AV1054" t="inlineStr">
        <is>
          <t>194850</t>
        </is>
      </c>
      <c r="AW1054" t="inlineStr">
        <is>
          <t>991001217189702656</t>
        </is>
      </c>
      <c r="AX1054" t="inlineStr">
        <is>
          <t>991001217189702656</t>
        </is>
      </c>
      <c r="AY1054" t="inlineStr">
        <is>
          <t>2269380250002656</t>
        </is>
      </c>
      <c r="AZ1054" t="inlineStr">
        <is>
          <t>BOOK</t>
        </is>
      </c>
      <c r="BC1054" t="inlineStr">
        <is>
          <t>32285001383578</t>
        </is>
      </c>
      <c r="BD1054" t="inlineStr">
        <is>
          <t>893528764</t>
        </is>
      </c>
    </row>
    <row r="1055">
      <c r="A1055" t="inlineStr">
        <is>
          <t>No</t>
        </is>
      </c>
      <c r="B1055" t="inlineStr">
        <is>
          <t>BF723.A35 P3</t>
        </is>
      </c>
      <c r="C1055" t="inlineStr">
        <is>
          <t>0                      BF 0723000A  35                 P  3</t>
        </is>
      </c>
      <c r="D1055" t="inlineStr">
        <is>
          <t>The development of aggression in early childhood / Henri Parens ; with the editorial assistance of Rachel A. Parens.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Parens, Henri, 1928-</t>
        </is>
      </c>
      <c r="L1055" t="inlineStr">
        <is>
          <t>New York : Jason Aronson, c1979.</t>
        </is>
      </c>
      <c r="M1055" t="inlineStr">
        <is>
          <t>1979</t>
        </is>
      </c>
      <c r="O1055" t="inlineStr">
        <is>
          <t>eng</t>
        </is>
      </c>
      <c r="P1055" t="inlineStr">
        <is>
          <t xml:space="preserve">xx </t>
        </is>
      </c>
      <c r="R1055" t="inlineStr">
        <is>
          <t xml:space="preserve">BF </t>
        </is>
      </c>
      <c r="S1055" t="n">
        <v>11</v>
      </c>
      <c r="T1055" t="n">
        <v>11</v>
      </c>
      <c r="U1055" t="inlineStr">
        <is>
          <t>2002-11-21</t>
        </is>
      </c>
      <c r="V1055" t="inlineStr">
        <is>
          <t>2002-11-21</t>
        </is>
      </c>
      <c r="W1055" t="inlineStr">
        <is>
          <t>1993-04-07</t>
        </is>
      </c>
      <c r="X1055" t="inlineStr">
        <is>
          <t>1993-04-07</t>
        </is>
      </c>
      <c r="Y1055" t="n">
        <v>335</v>
      </c>
      <c r="Z1055" t="n">
        <v>272</v>
      </c>
      <c r="AA1055" t="n">
        <v>398</v>
      </c>
      <c r="AB1055" t="n">
        <v>3</v>
      </c>
      <c r="AC1055" t="n">
        <v>3</v>
      </c>
      <c r="AD1055" t="n">
        <v>6</v>
      </c>
      <c r="AE1055" t="n">
        <v>10</v>
      </c>
      <c r="AF1055" t="n">
        <v>1</v>
      </c>
      <c r="AG1055" t="n">
        <v>2</v>
      </c>
      <c r="AH1055" t="n">
        <v>1</v>
      </c>
      <c r="AI1055" t="n">
        <v>3</v>
      </c>
      <c r="AJ1055" t="n">
        <v>5</v>
      </c>
      <c r="AK1055" t="n">
        <v>8</v>
      </c>
      <c r="AL1055" t="n">
        <v>1</v>
      </c>
      <c r="AM1055" t="n">
        <v>1</v>
      </c>
      <c r="AN1055" t="n">
        <v>0</v>
      </c>
      <c r="AO1055" t="n">
        <v>0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HYPERLINK("http://catalog.hathitrust.org/Record/000754263","HathiTrust Record")</f>
        <v/>
      </c>
      <c r="AS1055">
        <f>HYPERLINK("https://creighton-primo.hosted.exlibrisgroup.com/primo-explore/search?tab=default_tab&amp;search_scope=EVERYTHING&amp;vid=01CRU&amp;lang=en_US&amp;offset=0&amp;query=any,contains,991004786199702656","Catalog Record")</f>
        <v/>
      </c>
      <c r="AT1055">
        <f>HYPERLINK("http://www.worldcat.org/oclc/6813127","WorldCat Record")</f>
        <v/>
      </c>
      <c r="AU1055" t="inlineStr">
        <is>
          <t>23865972:eng</t>
        </is>
      </c>
      <c r="AV1055" t="inlineStr">
        <is>
          <t>6813127</t>
        </is>
      </c>
      <c r="AW1055" t="inlineStr">
        <is>
          <t>991004786199702656</t>
        </is>
      </c>
      <c r="AX1055" t="inlineStr">
        <is>
          <t>991004786199702656</t>
        </is>
      </c>
      <c r="AY1055" t="inlineStr">
        <is>
          <t>2270289410002656</t>
        </is>
      </c>
      <c r="AZ1055" t="inlineStr">
        <is>
          <t>BOOK</t>
        </is>
      </c>
      <c r="BB1055" t="inlineStr">
        <is>
          <t>9780876683644</t>
        </is>
      </c>
      <c r="BC1055" t="inlineStr">
        <is>
          <t>32285001604189</t>
        </is>
      </c>
      <c r="BD1055" t="inlineStr">
        <is>
          <t>893344257</t>
        </is>
      </c>
    </row>
    <row r="1056">
      <c r="A1056" t="inlineStr">
        <is>
          <t>No</t>
        </is>
      </c>
      <c r="B1056" t="inlineStr">
        <is>
          <t>BF723.A5 S36</t>
        </is>
      </c>
      <c r="C1056" t="inlineStr">
        <is>
          <t>0                      BF 0723000A  5                  S  36</t>
        </is>
      </c>
      <c r="D1056" t="inlineStr">
        <is>
          <t>Anxiety in elementary school children; a report of research [by] Seymour B. Sarason [and others]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K1056" t="inlineStr">
        <is>
          <t>Sarason, Seymour Bernard, 1919-2010.</t>
        </is>
      </c>
      <c r="L1056" t="inlineStr">
        <is>
          <t>New York, Wiley [1960]</t>
        </is>
      </c>
      <c r="M1056" t="inlineStr">
        <is>
          <t>1960</t>
        </is>
      </c>
      <c r="O1056" t="inlineStr">
        <is>
          <t>eng</t>
        </is>
      </c>
      <c r="P1056" t="inlineStr">
        <is>
          <t>nyu</t>
        </is>
      </c>
      <c r="R1056" t="inlineStr">
        <is>
          <t xml:space="preserve">BF </t>
        </is>
      </c>
      <c r="S1056" t="n">
        <v>12</v>
      </c>
      <c r="T1056" t="n">
        <v>12</v>
      </c>
      <c r="U1056" t="inlineStr">
        <is>
          <t>2005-11-10</t>
        </is>
      </c>
      <c r="V1056" t="inlineStr">
        <is>
          <t>2005-11-10</t>
        </is>
      </c>
      <c r="W1056" t="inlineStr">
        <is>
          <t>1996-08-06</t>
        </is>
      </c>
      <c r="X1056" t="inlineStr">
        <is>
          <t>1996-08-06</t>
        </is>
      </c>
      <c r="Y1056" t="n">
        <v>917</v>
      </c>
      <c r="Z1056" t="n">
        <v>785</v>
      </c>
      <c r="AA1056" t="n">
        <v>891</v>
      </c>
      <c r="AB1056" t="n">
        <v>7</v>
      </c>
      <c r="AC1056" t="n">
        <v>8</v>
      </c>
      <c r="AD1056" t="n">
        <v>35</v>
      </c>
      <c r="AE1056" t="n">
        <v>38</v>
      </c>
      <c r="AF1056" t="n">
        <v>16</v>
      </c>
      <c r="AG1056" t="n">
        <v>16</v>
      </c>
      <c r="AH1056" t="n">
        <v>7</v>
      </c>
      <c r="AI1056" t="n">
        <v>8</v>
      </c>
      <c r="AJ1056" t="n">
        <v>14</v>
      </c>
      <c r="AK1056" t="n">
        <v>16</v>
      </c>
      <c r="AL1056" t="n">
        <v>6</v>
      </c>
      <c r="AM1056" t="n">
        <v>7</v>
      </c>
      <c r="AN1056" t="n">
        <v>0</v>
      </c>
      <c r="AO1056" t="n">
        <v>0</v>
      </c>
      <c r="AP1056" t="inlineStr">
        <is>
          <t>Yes</t>
        </is>
      </c>
      <c r="AQ1056" t="inlineStr">
        <is>
          <t>No</t>
        </is>
      </c>
      <c r="AR1056">
        <f>HYPERLINK("http://catalog.hathitrust.org/Record/000430332","HathiTrust Record")</f>
        <v/>
      </c>
      <c r="AS1056">
        <f>HYPERLINK("https://creighton-primo.hosted.exlibrisgroup.com/primo-explore/search?tab=default_tab&amp;search_scope=EVERYTHING&amp;vid=01CRU&amp;lang=en_US&amp;offset=0&amp;query=any,contains,991001289849702656","Catalog Record")</f>
        <v/>
      </c>
      <c r="AT1056">
        <f>HYPERLINK("http://www.worldcat.org/oclc/217741","WorldCat Record")</f>
        <v/>
      </c>
      <c r="AU1056" t="inlineStr">
        <is>
          <t>24184847:eng</t>
        </is>
      </c>
      <c r="AV1056" t="inlineStr">
        <is>
          <t>217741</t>
        </is>
      </c>
      <c r="AW1056" t="inlineStr">
        <is>
          <t>991001289849702656</t>
        </is>
      </c>
      <c r="AX1056" t="inlineStr">
        <is>
          <t>991001289849702656</t>
        </is>
      </c>
      <c r="AY1056" t="inlineStr">
        <is>
          <t>2258844930002656</t>
        </is>
      </c>
      <c r="AZ1056" t="inlineStr">
        <is>
          <t>BOOK</t>
        </is>
      </c>
      <c r="BC1056" t="inlineStr">
        <is>
          <t>32285002255973</t>
        </is>
      </c>
      <c r="BD1056" t="inlineStr">
        <is>
          <t>893778701</t>
        </is>
      </c>
    </row>
    <row r="1057">
      <c r="A1057" t="inlineStr">
        <is>
          <t>No</t>
        </is>
      </c>
      <c r="B1057" t="inlineStr">
        <is>
          <t>BF723.C43 P4</t>
        </is>
      </c>
      <c r="C1057" t="inlineStr">
        <is>
          <t>0                      BF 0723000C  43                 P  4</t>
        </is>
      </c>
      <c r="D1057" t="inlineStr">
        <is>
          <t>The psychology of character development, by Robert F. Peck, with Robert J. Havighurst and [others]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Peck, Robert F.</t>
        </is>
      </c>
      <c r="L1057" t="inlineStr">
        <is>
          <t>New York, Wiley [1960]</t>
        </is>
      </c>
      <c r="M1057" t="inlineStr">
        <is>
          <t>1960</t>
        </is>
      </c>
      <c r="O1057" t="inlineStr">
        <is>
          <t>eng</t>
        </is>
      </c>
      <c r="P1057" t="inlineStr">
        <is>
          <t>nyu</t>
        </is>
      </c>
      <c r="R1057" t="inlineStr">
        <is>
          <t xml:space="preserve">BF </t>
        </is>
      </c>
      <c r="S1057" t="n">
        <v>8</v>
      </c>
      <c r="T1057" t="n">
        <v>8</v>
      </c>
      <c r="U1057" t="inlineStr">
        <is>
          <t>2007-02-19</t>
        </is>
      </c>
      <c r="V1057" t="inlineStr">
        <is>
          <t>2007-02-19</t>
        </is>
      </c>
      <c r="W1057" t="inlineStr">
        <is>
          <t>1996-08-06</t>
        </is>
      </c>
      <c r="X1057" t="inlineStr">
        <is>
          <t>1996-08-06</t>
        </is>
      </c>
      <c r="Y1057" t="n">
        <v>762</v>
      </c>
      <c r="Z1057" t="n">
        <v>651</v>
      </c>
      <c r="AA1057" t="n">
        <v>716</v>
      </c>
      <c r="AB1057" t="n">
        <v>8</v>
      </c>
      <c r="AC1057" t="n">
        <v>9</v>
      </c>
      <c r="AD1057" t="n">
        <v>32</v>
      </c>
      <c r="AE1057" t="n">
        <v>38</v>
      </c>
      <c r="AF1057" t="n">
        <v>14</v>
      </c>
      <c r="AG1057" t="n">
        <v>16</v>
      </c>
      <c r="AH1057" t="n">
        <v>7</v>
      </c>
      <c r="AI1057" t="n">
        <v>7</v>
      </c>
      <c r="AJ1057" t="n">
        <v>15</v>
      </c>
      <c r="AK1057" t="n">
        <v>19</v>
      </c>
      <c r="AL1057" t="n">
        <v>6</v>
      </c>
      <c r="AM1057" t="n">
        <v>7</v>
      </c>
      <c r="AN1057" t="n">
        <v>0</v>
      </c>
      <c r="AO1057" t="n">
        <v>0</v>
      </c>
      <c r="AP1057" t="inlineStr">
        <is>
          <t>Yes</t>
        </is>
      </c>
      <c r="AQ1057" t="inlineStr">
        <is>
          <t>No</t>
        </is>
      </c>
      <c r="AR1057">
        <f>HYPERLINK("http://catalog.hathitrust.org/Record/001465618","HathiTrust Record")</f>
        <v/>
      </c>
      <c r="AS1057">
        <f>HYPERLINK("https://creighton-primo.hosted.exlibrisgroup.com/primo-explore/search?tab=default_tab&amp;search_scope=EVERYTHING&amp;vid=01CRU&amp;lang=en_US&amp;offset=0&amp;query=any,contains,991001289709702656","Catalog Record")</f>
        <v/>
      </c>
      <c r="AT1057">
        <f>HYPERLINK("http://www.worldcat.org/oclc/217730","WorldCat Record")</f>
        <v/>
      </c>
      <c r="AU1057" t="inlineStr">
        <is>
          <t>284323:eng</t>
        </is>
      </c>
      <c r="AV1057" t="inlineStr">
        <is>
          <t>217730</t>
        </is>
      </c>
      <c r="AW1057" t="inlineStr">
        <is>
          <t>991001289709702656</t>
        </is>
      </c>
      <c r="AX1057" t="inlineStr">
        <is>
          <t>991001289709702656</t>
        </is>
      </c>
      <c r="AY1057" t="inlineStr">
        <is>
          <t>2258828430002656</t>
        </is>
      </c>
      <c r="AZ1057" t="inlineStr">
        <is>
          <t>BOOK</t>
        </is>
      </c>
      <c r="BC1057" t="inlineStr">
        <is>
          <t>32285002256005</t>
        </is>
      </c>
      <c r="BD1057" t="inlineStr">
        <is>
          <t>893414143</t>
        </is>
      </c>
    </row>
    <row r="1058">
      <c r="A1058" t="inlineStr">
        <is>
          <t>No</t>
        </is>
      </c>
      <c r="B1058" t="inlineStr">
        <is>
          <t>BF723.C5 A44</t>
        </is>
      </c>
      <c r="C1058" t="inlineStr">
        <is>
          <t>0                      BF 0723000C  5                  A  44</t>
        </is>
      </c>
      <c r="D1058" t="inlineStr">
        <is>
          <t>Action and thought : from sensorimotor schemes to symbolic operations / edited by George E. Forman.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L1058" t="inlineStr">
        <is>
          <t>New York : Academic Press, 1982.</t>
        </is>
      </c>
      <c r="M1058" t="inlineStr">
        <is>
          <t>1982</t>
        </is>
      </c>
      <c r="O1058" t="inlineStr">
        <is>
          <t>eng</t>
        </is>
      </c>
      <c r="P1058" t="inlineStr">
        <is>
          <t>nyu</t>
        </is>
      </c>
      <c r="Q1058" t="inlineStr">
        <is>
          <t>Developmental psychology series</t>
        </is>
      </c>
      <c r="R1058" t="inlineStr">
        <is>
          <t xml:space="preserve">BF </t>
        </is>
      </c>
      <c r="S1058" t="n">
        <v>4</v>
      </c>
      <c r="T1058" t="n">
        <v>4</v>
      </c>
      <c r="U1058" t="inlineStr">
        <is>
          <t>2002-03-24</t>
        </is>
      </c>
      <c r="V1058" t="inlineStr">
        <is>
          <t>2002-03-24</t>
        </is>
      </c>
      <c r="W1058" t="inlineStr">
        <is>
          <t>1993-04-07</t>
        </is>
      </c>
      <c r="X1058" t="inlineStr">
        <is>
          <t>1993-04-07</t>
        </is>
      </c>
      <c r="Y1058" t="n">
        <v>482</v>
      </c>
      <c r="Z1058" t="n">
        <v>363</v>
      </c>
      <c r="AA1058" t="n">
        <v>370</v>
      </c>
      <c r="AB1058" t="n">
        <v>4</v>
      </c>
      <c r="AC1058" t="n">
        <v>4</v>
      </c>
      <c r="AD1058" t="n">
        <v>10</v>
      </c>
      <c r="AE1058" t="n">
        <v>10</v>
      </c>
      <c r="AF1058" t="n">
        <v>2</v>
      </c>
      <c r="AG1058" t="n">
        <v>2</v>
      </c>
      <c r="AH1058" t="n">
        <v>2</v>
      </c>
      <c r="AI1058" t="n">
        <v>2</v>
      </c>
      <c r="AJ1058" t="n">
        <v>4</v>
      </c>
      <c r="AK1058" t="n">
        <v>4</v>
      </c>
      <c r="AL1058" t="n">
        <v>3</v>
      </c>
      <c r="AM1058" t="n">
        <v>3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HYPERLINK("http://catalog.hathitrust.org/Record/000221318","HathiTrust Record")</f>
        <v/>
      </c>
      <c r="AS1058">
        <f>HYPERLINK("https://creighton-primo.hosted.exlibrisgroup.com/primo-explore/search?tab=default_tab&amp;search_scope=EVERYTHING&amp;vid=01CRU&amp;lang=en_US&amp;offset=0&amp;query=any,contains,991005176519702656","Catalog Record")</f>
        <v/>
      </c>
      <c r="AT1058">
        <f>HYPERLINK("http://www.worldcat.org/oclc/7923610","WorldCat Record")</f>
        <v/>
      </c>
      <c r="AU1058" t="inlineStr">
        <is>
          <t>889833964:eng</t>
        </is>
      </c>
      <c r="AV1058" t="inlineStr">
        <is>
          <t>7923610</t>
        </is>
      </c>
      <c r="AW1058" t="inlineStr">
        <is>
          <t>991005176519702656</t>
        </is>
      </c>
      <c r="AX1058" t="inlineStr">
        <is>
          <t>991005176519702656</t>
        </is>
      </c>
      <c r="AY1058" t="inlineStr">
        <is>
          <t>2269233810002656</t>
        </is>
      </c>
      <c r="AZ1058" t="inlineStr">
        <is>
          <t>BOOK</t>
        </is>
      </c>
      <c r="BB1058" t="inlineStr">
        <is>
          <t>9780122622205</t>
        </is>
      </c>
      <c r="BC1058" t="inlineStr">
        <is>
          <t>32285001604205</t>
        </is>
      </c>
      <c r="BD1058" t="inlineStr">
        <is>
          <t>893501448</t>
        </is>
      </c>
    </row>
    <row r="1059">
      <c r="A1059" t="inlineStr">
        <is>
          <t>No</t>
        </is>
      </c>
      <c r="B1059" t="inlineStr">
        <is>
          <t>BF723.C5 A66 1984</t>
        </is>
      </c>
      <c r="C1059" t="inlineStr">
        <is>
          <t>0                      BF 0723000C  5                  A  66          1984</t>
        </is>
      </c>
      <c r="D1059" t="inlineStr">
        <is>
          <t>Applications of cognitive-developmental theory / edited by Barry Gholson, Ted L. Rosenthal.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L1059" t="inlineStr">
        <is>
          <t>Orlando : Academic Press, 1984.</t>
        </is>
      </c>
      <c r="M1059" t="inlineStr">
        <is>
          <t>1984</t>
        </is>
      </c>
      <c r="O1059" t="inlineStr">
        <is>
          <t>eng</t>
        </is>
      </c>
      <c r="P1059" t="inlineStr">
        <is>
          <t>flu</t>
        </is>
      </c>
      <c r="Q1059" t="inlineStr">
        <is>
          <t>Developmental psychology series</t>
        </is>
      </c>
      <c r="R1059" t="inlineStr">
        <is>
          <t xml:space="preserve">BF </t>
        </is>
      </c>
      <c r="S1059" t="n">
        <v>7</v>
      </c>
      <c r="T1059" t="n">
        <v>7</v>
      </c>
      <c r="U1059" t="inlineStr">
        <is>
          <t>1994-02-20</t>
        </is>
      </c>
      <c r="V1059" t="inlineStr">
        <is>
          <t>1994-02-20</t>
        </is>
      </c>
      <c r="W1059" t="inlineStr">
        <is>
          <t>1992-04-22</t>
        </is>
      </c>
      <c r="X1059" t="inlineStr">
        <is>
          <t>1992-04-22</t>
        </is>
      </c>
      <c r="Y1059" t="n">
        <v>394</v>
      </c>
      <c r="Z1059" t="n">
        <v>291</v>
      </c>
      <c r="AA1059" t="n">
        <v>293</v>
      </c>
      <c r="AB1059" t="n">
        <v>4</v>
      </c>
      <c r="AC1059" t="n">
        <v>4</v>
      </c>
      <c r="AD1059" t="n">
        <v>11</v>
      </c>
      <c r="AE1059" t="n">
        <v>11</v>
      </c>
      <c r="AF1059" t="n">
        <v>1</v>
      </c>
      <c r="AG1059" t="n">
        <v>1</v>
      </c>
      <c r="AH1059" t="n">
        <v>3</v>
      </c>
      <c r="AI1059" t="n">
        <v>3</v>
      </c>
      <c r="AJ1059" t="n">
        <v>7</v>
      </c>
      <c r="AK1059" t="n">
        <v>7</v>
      </c>
      <c r="AL1059" t="n">
        <v>3</v>
      </c>
      <c r="AM1059" t="n">
        <v>3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Yes</t>
        </is>
      </c>
      <c r="AR1059">
        <f>HYPERLINK("http://catalog.hathitrust.org/Record/000168661","HathiTrust Record")</f>
        <v/>
      </c>
      <c r="AS1059">
        <f>HYPERLINK("https://creighton-primo.hosted.exlibrisgroup.com/primo-explore/search?tab=default_tab&amp;search_scope=EVERYTHING&amp;vid=01CRU&amp;lang=en_US&amp;offset=0&amp;query=any,contains,991000297109702656","Catalog Record")</f>
        <v/>
      </c>
      <c r="AT1059">
        <f>HYPERLINK("http://www.worldcat.org/oclc/10018046","WorldCat Record")</f>
        <v/>
      </c>
      <c r="AU1059" t="inlineStr">
        <is>
          <t>353867850:eng</t>
        </is>
      </c>
      <c r="AV1059" t="inlineStr">
        <is>
          <t>10018046</t>
        </is>
      </c>
      <c r="AW1059" t="inlineStr">
        <is>
          <t>991000297109702656</t>
        </is>
      </c>
      <c r="AX1059" t="inlineStr">
        <is>
          <t>991000297109702656</t>
        </is>
      </c>
      <c r="AY1059" t="inlineStr">
        <is>
          <t>2269430760002656</t>
        </is>
      </c>
      <c r="AZ1059" t="inlineStr">
        <is>
          <t>BOOK</t>
        </is>
      </c>
      <c r="BB1059" t="inlineStr">
        <is>
          <t>9780122823206</t>
        </is>
      </c>
      <c r="BC1059" t="inlineStr">
        <is>
          <t>32285001064905</t>
        </is>
      </c>
      <c r="BD1059" t="inlineStr">
        <is>
          <t>893890564</t>
        </is>
      </c>
    </row>
    <row r="1060">
      <c r="A1060" t="inlineStr">
        <is>
          <t>No</t>
        </is>
      </c>
      <c r="B1060" t="inlineStr">
        <is>
          <t>BF723.C5 A84</t>
        </is>
      </c>
      <c r="C1060" t="inlineStr">
        <is>
          <t>0                      BF 0723000C  5                  A  84</t>
        </is>
      </c>
      <c r="D1060" t="inlineStr">
        <is>
          <t>Attention and cognitive development / edited by Gordon A. Hale and Michael Lewis.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L1060" t="inlineStr">
        <is>
          <t>New York : Plenum Press, c1979.</t>
        </is>
      </c>
      <c r="M1060" t="inlineStr">
        <is>
          <t>1979</t>
        </is>
      </c>
      <c r="O1060" t="inlineStr">
        <is>
          <t>eng</t>
        </is>
      </c>
      <c r="P1060" t="inlineStr">
        <is>
          <t>nyu</t>
        </is>
      </c>
      <c r="R1060" t="inlineStr">
        <is>
          <t xml:space="preserve">BF </t>
        </is>
      </c>
      <c r="S1060" t="n">
        <v>1</v>
      </c>
      <c r="T1060" t="n">
        <v>1</v>
      </c>
      <c r="U1060" t="inlineStr">
        <is>
          <t>2005-10-27</t>
        </is>
      </c>
      <c r="V1060" t="inlineStr">
        <is>
          <t>2005-10-27</t>
        </is>
      </c>
      <c r="W1060" t="inlineStr">
        <is>
          <t>1990-03-21</t>
        </is>
      </c>
      <c r="X1060" t="inlineStr">
        <is>
          <t>1990-03-21</t>
        </is>
      </c>
      <c r="Y1060" t="n">
        <v>515</v>
      </c>
      <c r="Z1060" t="n">
        <v>361</v>
      </c>
      <c r="AA1060" t="n">
        <v>381</v>
      </c>
      <c r="AB1060" t="n">
        <v>4</v>
      </c>
      <c r="AC1060" t="n">
        <v>4</v>
      </c>
      <c r="AD1060" t="n">
        <v>14</v>
      </c>
      <c r="AE1060" t="n">
        <v>16</v>
      </c>
      <c r="AF1060" t="n">
        <v>3</v>
      </c>
      <c r="AG1060" t="n">
        <v>5</v>
      </c>
      <c r="AH1060" t="n">
        <v>4</v>
      </c>
      <c r="AI1060" t="n">
        <v>4</v>
      </c>
      <c r="AJ1060" t="n">
        <v>8</v>
      </c>
      <c r="AK1060" t="n">
        <v>9</v>
      </c>
      <c r="AL1060" t="n">
        <v>3</v>
      </c>
      <c r="AM1060" t="n">
        <v>3</v>
      </c>
      <c r="AN1060" t="n">
        <v>0</v>
      </c>
      <c r="AO1060" t="n">
        <v>0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HYPERLINK("http://catalog.hathitrust.org/Record/000299958","HathiTrust Record")</f>
        <v/>
      </c>
      <c r="AS1060">
        <f>HYPERLINK("https://creighton-primo.hosted.exlibrisgroup.com/primo-explore/search?tab=default_tab&amp;search_scope=EVERYTHING&amp;vid=01CRU&amp;lang=en_US&amp;offset=0&amp;query=any,contains,991004741189702656","Catalog Record")</f>
        <v/>
      </c>
      <c r="AT1060">
        <f>HYPERLINK("http://www.worldcat.org/oclc/4883683","WorldCat Record")</f>
        <v/>
      </c>
      <c r="AU1060" t="inlineStr">
        <is>
          <t>365846135:eng</t>
        </is>
      </c>
      <c r="AV1060" t="inlineStr">
        <is>
          <t>4883683</t>
        </is>
      </c>
      <c r="AW1060" t="inlineStr">
        <is>
          <t>991004741189702656</t>
        </is>
      </c>
      <c r="AX1060" t="inlineStr">
        <is>
          <t>991004741189702656</t>
        </is>
      </c>
      <c r="AY1060" t="inlineStr">
        <is>
          <t>2264061150002656</t>
        </is>
      </c>
      <c r="AZ1060" t="inlineStr">
        <is>
          <t>BOOK</t>
        </is>
      </c>
      <c r="BB1060" t="inlineStr">
        <is>
          <t>9780306402340</t>
        </is>
      </c>
      <c r="BC1060" t="inlineStr">
        <is>
          <t>32285000088780</t>
        </is>
      </c>
      <c r="BD1060" t="inlineStr">
        <is>
          <t>893338077</t>
        </is>
      </c>
    </row>
    <row r="1061">
      <c r="A1061" t="inlineStr">
        <is>
          <t>No</t>
        </is>
      </c>
      <c r="B1061" t="inlineStr">
        <is>
          <t>BF723.C5 A9 1983</t>
        </is>
      </c>
      <c r="C1061" t="inlineStr">
        <is>
          <t>0                      BF 0723000C  5                  A  9           1983</t>
        </is>
      </c>
      <c r="D1061" t="inlineStr">
        <is>
          <t>Children's cognitive development / Ruth L. Ault.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Ault, Ruth L.</t>
        </is>
      </c>
      <c r="L1061" t="inlineStr">
        <is>
          <t>New York : Oxford University Press, 1983.</t>
        </is>
      </c>
      <c r="M1061" t="inlineStr">
        <is>
          <t>1983</t>
        </is>
      </c>
      <c r="N1061" t="inlineStr">
        <is>
          <t>2nd ed.</t>
        </is>
      </c>
      <c r="O1061" t="inlineStr">
        <is>
          <t>eng</t>
        </is>
      </c>
      <c r="P1061" t="inlineStr">
        <is>
          <t>nyu</t>
        </is>
      </c>
      <c r="R1061" t="inlineStr">
        <is>
          <t xml:space="preserve">BF </t>
        </is>
      </c>
      <c r="S1061" t="n">
        <v>19</v>
      </c>
      <c r="T1061" t="n">
        <v>19</v>
      </c>
      <c r="U1061" t="inlineStr">
        <is>
          <t>2006-02-13</t>
        </is>
      </c>
      <c r="V1061" t="inlineStr">
        <is>
          <t>2006-02-13</t>
        </is>
      </c>
      <c r="W1061" t="inlineStr">
        <is>
          <t>1992-04-22</t>
        </is>
      </c>
      <c r="X1061" t="inlineStr">
        <is>
          <t>1992-04-22</t>
        </is>
      </c>
      <c r="Y1061" t="n">
        <v>476</v>
      </c>
      <c r="Z1061" t="n">
        <v>364</v>
      </c>
      <c r="AA1061" t="n">
        <v>815</v>
      </c>
      <c r="AB1061" t="n">
        <v>2</v>
      </c>
      <c r="AC1061" t="n">
        <v>6</v>
      </c>
      <c r="AD1061" t="n">
        <v>17</v>
      </c>
      <c r="AE1061" t="n">
        <v>34</v>
      </c>
      <c r="AF1061" t="n">
        <v>7</v>
      </c>
      <c r="AG1061" t="n">
        <v>15</v>
      </c>
      <c r="AH1061" t="n">
        <v>4</v>
      </c>
      <c r="AI1061" t="n">
        <v>7</v>
      </c>
      <c r="AJ1061" t="n">
        <v>9</v>
      </c>
      <c r="AK1061" t="n">
        <v>15</v>
      </c>
      <c r="AL1061" t="n">
        <v>1</v>
      </c>
      <c r="AM1061" t="n">
        <v>5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Yes</t>
        </is>
      </c>
      <c r="AR1061">
        <f>HYPERLINK("http://catalog.hathitrust.org/Record/000312178","HathiTrust Record")</f>
        <v/>
      </c>
      <c r="AS1061">
        <f>HYPERLINK("https://creighton-primo.hosted.exlibrisgroup.com/primo-explore/search?tab=default_tab&amp;search_scope=EVERYTHING&amp;vid=01CRU&amp;lang=en_US&amp;offset=0&amp;query=any,contains,991005225439702656","Catalog Record")</f>
        <v/>
      </c>
      <c r="AT1061">
        <f>HYPERLINK("http://www.worldcat.org/oclc/8281516","WorldCat Record")</f>
        <v/>
      </c>
      <c r="AU1061" t="inlineStr">
        <is>
          <t>5595665:eng</t>
        </is>
      </c>
      <c r="AV1061" t="inlineStr">
        <is>
          <t>8281516</t>
        </is>
      </c>
      <c r="AW1061" t="inlineStr">
        <is>
          <t>991005225439702656</t>
        </is>
      </c>
      <c r="AX1061" t="inlineStr">
        <is>
          <t>991005225439702656</t>
        </is>
      </c>
      <c r="AY1061" t="inlineStr">
        <is>
          <t>2266827150002656</t>
        </is>
      </c>
      <c r="AZ1061" t="inlineStr">
        <is>
          <t>BOOK</t>
        </is>
      </c>
      <c r="BB1061" t="inlineStr">
        <is>
          <t>9780195031836</t>
        </is>
      </c>
      <c r="BC1061" t="inlineStr">
        <is>
          <t>32285001064889</t>
        </is>
      </c>
      <c r="BD1061" t="inlineStr">
        <is>
          <t>893501532</t>
        </is>
      </c>
    </row>
    <row r="1062">
      <c r="A1062" t="inlineStr">
        <is>
          <t>No</t>
        </is>
      </c>
      <c r="B1062" t="inlineStr">
        <is>
          <t>BF723.C5 B62 1991</t>
        </is>
      </c>
      <c r="C1062" t="inlineStr">
        <is>
          <t>0                      BF 0723000C  5                  B  62          1991</t>
        </is>
      </c>
      <c r="D1062" t="inlineStr">
        <is>
          <t>Brain maturation and cognitive development : comparative and cross-cultural perspectives / edited by Kathleen R. Gibson and Anne C. Petersen ; sponsored by the Social Science Research Council.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New York : De Gruyter, c1991.</t>
        </is>
      </c>
      <c r="M1062" t="inlineStr">
        <is>
          <t>1991</t>
        </is>
      </c>
      <c r="O1062" t="inlineStr">
        <is>
          <t>eng</t>
        </is>
      </c>
      <c r="P1062" t="inlineStr">
        <is>
          <t>nyu</t>
        </is>
      </c>
      <c r="Q1062" t="inlineStr">
        <is>
          <t>Foundations of human behavior</t>
        </is>
      </c>
      <c r="R1062" t="inlineStr">
        <is>
          <t xml:space="preserve">BF </t>
        </is>
      </c>
      <c r="S1062" t="n">
        <v>10</v>
      </c>
      <c r="T1062" t="n">
        <v>10</v>
      </c>
      <c r="U1062" t="inlineStr">
        <is>
          <t>2002-11-19</t>
        </is>
      </c>
      <c r="V1062" t="inlineStr">
        <is>
          <t>2002-11-19</t>
        </is>
      </c>
      <c r="W1062" t="inlineStr">
        <is>
          <t>1994-07-25</t>
        </is>
      </c>
      <c r="X1062" t="inlineStr">
        <is>
          <t>1994-07-25</t>
        </is>
      </c>
      <c r="Y1062" t="n">
        <v>443</v>
      </c>
      <c r="Z1062" t="n">
        <v>356</v>
      </c>
      <c r="AA1062" t="n">
        <v>392</v>
      </c>
      <c r="AB1062" t="n">
        <v>4</v>
      </c>
      <c r="AC1062" t="n">
        <v>4</v>
      </c>
      <c r="AD1062" t="n">
        <v>17</v>
      </c>
      <c r="AE1062" t="n">
        <v>17</v>
      </c>
      <c r="AF1062" t="n">
        <v>5</v>
      </c>
      <c r="AG1062" t="n">
        <v>5</v>
      </c>
      <c r="AH1062" t="n">
        <v>5</v>
      </c>
      <c r="AI1062" t="n">
        <v>5</v>
      </c>
      <c r="AJ1062" t="n">
        <v>8</v>
      </c>
      <c r="AK1062" t="n">
        <v>8</v>
      </c>
      <c r="AL1062" t="n">
        <v>3</v>
      </c>
      <c r="AM1062" t="n">
        <v>3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HYPERLINK("https://creighton-primo.hosted.exlibrisgroup.com/primo-explore/search?tab=default_tab&amp;search_scope=EVERYTHING&amp;vid=01CRU&amp;lang=en_US&amp;offset=0&amp;query=any,contains,991001743839702656","Catalog Record")</f>
        <v/>
      </c>
      <c r="AT1062">
        <f>HYPERLINK("http://www.worldcat.org/oclc/22108867","WorldCat Record")</f>
        <v/>
      </c>
      <c r="AU1062" t="inlineStr">
        <is>
          <t>795589335:eng</t>
        </is>
      </c>
      <c r="AV1062" t="inlineStr">
        <is>
          <t>22108867</t>
        </is>
      </c>
      <c r="AW1062" t="inlineStr">
        <is>
          <t>991001743839702656</t>
        </is>
      </c>
      <c r="AX1062" t="inlineStr">
        <is>
          <t>991001743839702656</t>
        </is>
      </c>
      <c r="AY1062" t="inlineStr">
        <is>
          <t>2268427540002656</t>
        </is>
      </c>
      <c r="AZ1062" t="inlineStr">
        <is>
          <t>BOOK</t>
        </is>
      </c>
      <c r="BB1062" t="inlineStr">
        <is>
          <t>9780202011875</t>
        </is>
      </c>
      <c r="BC1062" t="inlineStr">
        <is>
          <t>32285001932952</t>
        </is>
      </c>
      <c r="BD1062" t="inlineStr">
        <is>
          <t>893439381</t>
        </is>
      </c>
    </row>
    <row r="1063">
      <c r="A1063" t="inlineStr">
        <is>
          <t>No</t>
        </is>
      </c>
      <c r="B1063" t="inlineStr">
        <is>
          <t>BF723.C5 B6513</t>
        </is>
      </c>
      <c r="C1063" t="inlineStr">
        <is>
          <t>0                      BF 0723000C  5                  B  6513</t>
        </is>
      </c>
      <c r="D1063" t="inlineStr">
        <is>
          <t>Conversations with Jean Piaget / Jean-Claude Bringuier ; translated by Basia Miller Gulati.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K1063" t="inlineStr">
        <is>
          <t>Bringuier, Jean-Claude.</t>
        </is>
      </c>
      <c r="L1063" t="inlineStr">
        <is>
          <t>Chicago : University of Chicago Press, c1980.</t>
        </is>
      </c>
      <c r="M1063" t="inlineStr">
        <is>
          <t>1980</t>
        </is>
      </c>
      <c r="O1063" t="inlineStr">
        <is>
          <t>eng</t>
        </is>
      </c>
      <c r="P1063" t="inlineStr">
        <is>
          <t>ilu</t>
        </is>
      </c>
      <c r="R1063" t="inlineStr">
        <is>
          <t xml:space="preserve">BF </t>
        </is>
      </c>
      <c r="S1063" t="n">
        <v>15</v>
      </c>
      <c r="T1063" t="n">
        <v>15</v>
      </c>
      <c r="U1063" t="inlineStr">
        <is>
          <t>2009-03-05</t>
        </is>
      </c>
      <c r="V1063" t="inlineStr">
        <is>
          <t>2009-03-05</t>
        </is>
      </c>
      <c r="W1063" t="inlineStr">
        <is>
          <t>1992-03-31</t>
        </is>
      </c>
      <c r="X1063" t="inlineStr">
        <is>
          <t>1992-03-31</t>
        </is>
      </c>
      <c r="Y1063" t="n">
        <v>887</v>
      </c>
      <c r="Z1063" t="n">
        <v>738</v>
      </c>
      <c r="AA1063" t="n">
        <v>770</v>
      </c>
      <c r="AB1063" t="n">
        <v>6</v>
      </c>
      <c r="AC1063" t="n">
        <v>6</v>
      </c>
      <c r="AD1063" t="n">
        <v>29</v>
      </c>
      <c r="AE1063" t="n">
        <v>30</v>
      </c>
      <c r="AF1063" t="n">
        <v>10</v>
      </c>
      <c r="AG1063" t="n">
        <v>10</v>
      </c>
      <c r="AH1063" t="n">
        <v>6</v>
      </c>
      <c r="AI1063" t="n">
        <v>6</v>
      </c>
      <c r="AJ1063" t="n">
        <v>16</v>
      </c>
      <c r="AK1063" t="n">
        <v>17</v>
      </c>
      <c r="AL1063" t="n">
        <v>5</v>
      </c>
      <c r="AM1063" t="n">
        <v>5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HYPERLINK("https://creighton-primo.hosted.exlibrisgroup.com/primo-explore/search?tab=default_tab&amp;search_scope=EVERYTHING&amp;vid=01CRU&amp;lang=en_US&amp;offset=0&amp;query=any,contains,991004776899702656","Catalog Record")</f>
        <v/>
      </c>
      <c r="AT1063">
        <f>HYPERLINK("http://www.worldcat.org/oclc/5101473","WorldCat Record")</f>
        <v/>
      </c>
      <c r="AU1063" t="inlineStr">
        <is>
          <t>213878:eng</t>
        </is>
      </c>
      <c r="AV1063" t="inlineStr">
        <is>
          <t>5101473</t>
        </is>
      </c>
      <c r="AW1063" t="inlineStr">
        <is>
          <t>991004776899702656</t>
        </is>
      </c>
      <c r="AX1063" t="inlineStr">
        <is>
          <t>991004776899702656</t>
        </is>
      </c>
      <c r="AY1063" t="inlineStr">
        <is>
          <t>2259220000002656</t>
        </is>
      </c>
      <c r="AZ1063" t="inlineStr">
        <is>
          <t>BOOK</t>
        </is>
      </c>
      <c r="BB1063" t="inlineStr">
        <is>
          <t>9780226075037</t>
        </is>
      </c>
      <c r="BC1063" t="inlineStr">
        <is>
          <t>32285001032340</t>
        </is>
      </c>
      <c r="BD1063" t="inlineStr">
        <is>
          <t>893241830</t>
        </is>
      </c>
    </row>
    <row r="1064">
      <c r="A1064" t="inlineStr">
        <is>
          <t>No</t>
        </is>
      </c>
      <c r="B1064" t="inlineStr">
        <is>
          <t>BF723.C5 C37 1985</t>
        </is>
      </c>
      <c r="C1064" t="inlineStr">
        <is>
          <t>0                      BF 0723000C  5                  C  37          1985</t>
        </is>
      </c>
      <c r="D1064" t="inlineStr">
        <is>
          <t>Intellectual development : birth to adulthood / Robbie Case.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K1064" t="inlineStr">
        <is>
          <t>Case, Robbie.</t>
        </is>
      </c>
      <c r="L1064" t="inlineStr">
        <is>
          <t>Orlando : Academic Press, 1985.</t>
        </is>
      </c>
      <c r="M1064" t="inlineStr">
        <is>
          <t>1985</t>
        </is>
      </c>
      <c r="O1064" t="inlineStr">
        <is>
          <t>eng</t>
        </is>
      </c>
      <c r="P1064" t="inlineStr">
        <is>
          <t>flu</t>
        </is>
      </c>
      <c r="Q1064" t="inlineStr">
        <is>
          <t>Developmental psychology series</t>
        </is>
      </c>
      <c r="R1064" t="inlineStr">
        <is>
          <t xml:space="preserve">BF </t>
        </is>
      </c>
      <c r="S1064" t="n">
        <v>11</v>
      </c>
      <c r="T1064" t="n">
        <v>11</v>
      </c>
      <c r="U1064" t="inlineStr">
        <is>
          <t>2003-03-23</t>
        </is>
      </c>
      <c r="V1064" t="inlineStr">
        <is>
          <t>2003-03-23</t>
        </is>
      </c>
      <c r="W1064" t="inlineStr">
        <is>
          <t>1993-03-16</t>
        </is>
      </c>
      <c r="X1064" t="inlineStr">
        <is>
          <t>1993-03-16</t>
        </is>
      </c>
      <c r="Y1064" t="n">
        <v>751</v>
      </c>
      <c r="Z1064" t="n">
        <v>577</v>
      </c>
      <c r="AA1064" t="n">
        <v>586</v>
      </c>
      <c r="AB1064" t="n">
        <v>6</v>
      </c>
      <c r="AC1064" t="n">
        <v>6</v>
      </c>
      <c r="AD1064" t="n">
        <v>26</v>
      </c>
      <c r="AE1064" t="n">
        <v>26</v>
      </c>
      <c r="AF1064" t="n">
        <v>10</v>
      </c>
      <c r="AG1064" t="n">
        <v>10</v>
      </c>
      <c r="AH1064" t="n">
        <v>4</v>
      </c>
      <c r="AI1064" t="n">
        <v>4</v>
      </c>
      <c r="AJ1064" t="n">
        <v>13</v>
      </c>
      <c r="AK1064" t="n">
        <v>13</v>
      </c>
      <c r="AL1064" t="n">
        <v>5</v>
      </c>
      <c r="AM1064" t="n">
        <v>5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HYPERLINK("http://catalog.hathitrust.org/Record/000413173","HathiTrust Record")</f>
        <v/>
      </c>
      <c r="AS1064">
        <f>HYPERLINK("https://creighton-primo.hosted.exlibrisgroup.com/primo-explore/search?tab=default_tab&amp;search_scope=EVERYTHING&amp;vid=01CRU&amp;lang=en_US&amp;offset=0&amp;query=any,contains,991000456249702656","Catalog Record")</f>
        <v/>
      </c>
      <c r="AT1064">
        <f>HYPERLINK("http://www.worldcat.org/oclc/10913916","WorldCat Record")</f>
        <v/>
      </c>
      <c r="AU1064" t="inlineStr">
        <is>
          <t>3167384:eng</t>
        </is>
      </c>
      <c r="AV1064" t="inlineStr">
        <is>
          <t>10913916</t>
        </is>
      </c>
      <c r="AW1064" t="inlineStr">
        <is>
          <t>991000456249702656</t>
        </is>
      </c>
      <c r="AX1064" t="inlineStr">
        <is>
          <t>991000456249702656</t>
        </is>
      </c>
      <c r="AY1064" t="inlineStr">
        <is>
          <t>2258536350002656</t>
        </is>
      </c>
      <c r="AZ1064" t="inlineStr">
        <is>
          <t>BOOK</t>
        </is>
      </c>
      <c r="BB1064" t="inlineStr">
        <is>
          <t>9780121628802</t>
        </is>
      </c>
      <c r="BC1064" t="inlineStr">
        <is>
          <t>32285001573111</t>
        </is>
      </c>
      <c r="BD1064" t="inlineStr">
        <is>
          <t>893903012</t>
        </is>
      </c>
    </row>
    <row r="1065">
      <c r="A1065" t="inlineStr">
        <is>
          <t>No</t>
        </is>
      </c>
      <c r="B1065" t="inlineStr">
        <is>
          <t>BF723.C5 C45</t>
        </is>
      </c>
      <c r="C1065" t="inlineStr">
        <is>
          <t>0                      BF 0723000C  5                  C  45</t>
        </is>
      </c>
      <c r="D1065" t="inlineStr">
        <is>
          <t>Children's conceptions of health, illness, and bodily functions / Roger Bibace, Mary E. Walsh, editors.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L1065" t="inlineStr">
        <is>
          <t>San Francisco, Calif. : Jossey-Bass, 1981.</t>
        </is>
      </c>
      <c r="M1065" t="inlineStr">
        <is>
          <t>1981</t>
        </is>
      </c>
      <c r="O1065" t="inlineStr">
        <is>
          <t>eng</t>
        </is>
      </c>
      <c r="P1065" t="inlineStr">
        <is>
          <t>cau</t>
        </is>
      </c>
      <c r="Q1065" t="inlineStr">
        <is>
          <t>New directions for child development, 0195-2269 ; no. 14</t>
        </is>
      </c>
      <c r="R1065" t="inlineStr">
        <is>
          <t xml:space="preserve">BF </t>
        </is>
      </c>
      <c r="S1065" t="n">
        <v>2</v>
      </c>
      <c r="T1065" t="n">
        <v>2</v>
      </c>
      <c r="U1065" t="inlineStr">
        <is>
          <t>1996-09-20</t>
        </is>
      </c>
      <c r="V1065" t="inlineStr">
        <is>
          <t>1996-09-20</t>
        </is>
      </c>
      <c r="W1065" t="inlineStr">
        <is>
          <t>1993-04-07</t>
        </is>
      </c>
      <c r="X1065" t="inlineStr">
        <is>
          <t>1993-04-07</t>
        </is>
      </c>
      <c r="Y1065" t="n">
        <v>302</v>
      </c>
      <c r="Z1065" t="n">
        <v>254</v>
      </c>
      <c r="AA1065" t="n">
        <v>257</v>
      </c>
      <c r="AB1065" t="n">
        <v>2</v>
      </c>
      <c r="AC1065" t="n">
        <v>2</v>
      </c>
      <c r="AD1065" t="n">
        <v>13</v>
      </c>
      <c r="AE1065" t="n">
        <v>13</v>
      </c>
      <c r="AF1065" t="n">
        <v>4</v>
      </c>
      <c r="AG1065" t="n">
        <v>4</v>
      </c>
      <c r="AH1065" t="n">
        <v>3</v>
      </c>
      <c r="AI1065" t="n">
        <v>3</v>
      </c>
      <c r="AJ1065" t="n">
        <v>9</v>
      </c>
      <c r="AK1065" t="n">
        <v>9</v>
      </c>
      <c r="AL1065" t="n">
        <v>1</v>
      </c>
      <c r="AM1065" t="n">
        <v>1</v>
      </c>
      <c r="AN1065" t="n">
        <v>0</v>
      </c>
      <c r="AO1065" t="n">
        <v>0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HYPERLINK("https://creighton-primo.hosted.exlibrisgroup.com/primo-explore/search?tab=default_tab&amp;search_scope=EVERYTHING&amp;vid=01CRU&amp;lang=en_US&amp;offset=0&amp;query=any,contains,991005230869702656","Catalog Record")</f>
        <v/>
      </c>
      <c r="AT1065">
        <f>HYPERLINK("http://www.worldcat.org/oclc/8324446","WorldCat Record")</f>
        <v/>
      </c>
      <c r="AU1065" t="inlineStr">
        <is>
          <t>532977:eng</t>
        </is>
      </c>
      <c r="AV1065" t="inlineStr">
        <is>
          <t>8324446</t>
        </is>
      </c>
      <c r="AW1065" t="inlineStr">
        <is>
          <t>991005230869702656</t>
        </is>
      </c>
      <c r="AX1065" t="inlineStr">
        <is>
          <t>991005230869702656</t>
        </is>
      </c>
      <c r="AY1065" t="inlineStr">
        <is>
          <t>2262940830002656</t>
        </is>
      </c>
      <c r="AZ1065" t="inlineStr">
        <is>
          <t>BOOK</t>
        </is>
      </c>
      <c r="BB1065" t="inlineStr">
        <is>
          <t>9780875898049</t>
        </is>
      </c>
      <c r="BC1065" t="inlineStr">
        <is>
          <t>32285001604221</t>
        </is>
      </c>
      <c r="BD1065" t="inlineStr">
        <is>
          <t>893810948</t>
        </is>
      </c>
    </row>
    <row r="1066">
      <c r="A1066" t="inlineStr">
        <is>
          <t>No</t>
        </is>
      </c>
      <c r="B1066" t="inlineStr">
        <is>
          <t>BF723.C5 C515 1984</t>
        </is>
      </c>
      <c r="C1066" t="inlineStr">
        <is>
          <t>0                      BF 0723000C  5                  C  515         1984</t>
        </is>
      </c>
      <c r="D1066" t="inlineStr">
        <is>
          <t>A Child's brain : the impact of advanced research on cognitive and social behaviors / edited by Mary Frank.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L1066" t="inlineStr">
        <is>
          <t>New York : Haworth Press, c1984.</t>
        </is>
      </c>
      <c r="M1066" t="inlineStr">
        <is>
          <t>1984</t>
        </is>
      </c>
      <c r="O1066" t="inlineStr">
        <is>
          <t>eng</t>
        </is>
      </c>
      <c r="P1066" t="inlineStr">
        <is>
          <t>nyu</t>
        </is>
      </c>
      <c r="Q1066" t="inlineStr">
        <is>
          <t>Journal of children in contemporary society ; v. 16, no. 1/2</t>
        </is>
      </c>
      <c r="R1066" t="inlineStr">
        <is>
          <t xml:space="preserve">BF </t>
        </is>
      </c>
      <c r="S1066" t="n">
        <v>11</v>
      </c>
      <c r="T1066" t="n">
        <v>11</v>
      </c>
      <c r="U1066" t="inlineStr">
        <is>
          <t>2002-10-23</t>
        </is>
      </c>
      <c r="V1066" t="inlineStr">
        <is>
          <t>2002-10-23</t>
        </is>
      </c>
      <c r="W1066" t="inlineStr">
        <is>
          <t>1993-04-07</t>
        </is>
      </c>
      <c r="X1066" t="inlineStr">
        <is>
          <t>1993-04-07</t>
        </is>
      </c>
      <c r="Y1066" t="n">
        <v>219</v>
      </c>
      <c r="Z1066" t="n">
        <v>184</v>
      </c>
      <c r="AA1066" t="n">
        <v>184</v>
      </c>
      <c r="AB1066" t="n">
        <v>2</v>
      </c>
      <c r="AC1066" t="n">
        <v>2</v>
      </c>
      <c r="AD1066" t="n">
        <v>6</v>
      </c>
      <c r="AE1066" t="n">
        <v>6</v>
      </c>
      <c r="AF1066" t="n">
        <v>2</v>
      </c>
      <c r="AG1066" t="n">
        <v>2</v>
      </c>
      <c r="AH1066" t="n">
        <v>1</v>
      </c>
      <c r="AI1066" t="n">
        <v>1</v>
      </c>
      <c r="AJ1066" t="n">
        <v>3</v>
      </c>
      <c r="AK1066" t="n">
        <v>3</v>
      </c>
      <c r="AL1066" t="n">
        <v>1</v>
      </c>
      <c r="AM1066" t="n">
        <v>1</v>
      </c>
      <c r="AN1066" t="n">
        <v>0</v>
      </c>
      <c r="AO1066" t="n">
        <v>0</v>
      </c>
      <c r="AP1066" t="inlineStr">
        <is>
          <t>No</t>
        </is>
      </c>
      <c r="AQ1066" t="inlineStr">
        <is>
          <t>No</t>
        </is>
      </c>
      <c r="AS1066">
        <f>HYPERLINK("https://creighton-primo.hosted.exlibrisgroup.com/primo-explore/search?tab=default_tab&amp;search_scope=EVERYTHING&amp;vid=01CRU&amp;lang=en_US&amp;offset=0&amp;query=any,contains,991000369889702656","Catalog Record")</f>
        <v/>
      </c>
      <c r="AT1066">
        <f>HYPERLINK("http://www.worldcat.org/oclc/10429694","WorldCat Record")</f>
        <v/>
      </c>
      <c r="AU1066" t="inlineStr">
        <is>
          <t>3291599:eng</t>
        </is>
      </c>
      <c r="AV1066" t="inlineStr">
        <is>
          <t>10429694</t>
        </is>
      </c>
      <c r="AW1066" t="inlineStr">
        <is>
          <t>991000369889702656</t>
        </is>
      </c>
      <c r="AX1066" t="inlineStr">
        <is>
          <t>991000369889702656</t>
        </is>
      </c>
      <c r="AY1066" t="inlineStr">
        <is>
          <t>2259277850002656</t>
        </is>
      </c>
      <c r="AZ1066" t="inlineStr">
        <is>
          <t>BOOK</t>
        </is>
      </c>
      <c r="BB1066" t="inlineStr">
        <is>
          <t>9780866562690</t>
        </is>
      </c>
      <c r="BC1066" t="inlineStr">
        <is>
          <t>32285001604239</t>
        </is>
      </c>
      <c r="BD1066" t="inlineStr">
        <is>
          <t>893720657</t>
        </is>
      </c>
    </row>
    <row r="1067">
      <c r="A1067" t="inlineStr">
        <is>
          <t>No</t>
        </is>
      </c>
      <c r="B1067" t="inlineStr">
        <is>
          <t>BF723.C5 C563 1987</t>
        </is>
      </c>
      <c r="C1067" t="inlineStr">
        <is>
          <t>0                      BF 0723000C  5                  C  563         1987</t>
        </is>
      </c>
      <c r="D1067" t="inlineStr">
        <is>
          <t>Cognition in special children : comparative approaches to retardation, learning disabilities, and giftedness / edited by John G. Borkowski and Jeanne D. Day.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L1067" t="inlineStr">
        <is>
          <t>Norwood, N.J. : Ablex Pub. Corp., c1987.</t>
        </is>
      </c>
      <c r="M1067" t="inlineStr">
        <is>
          <t>1987</t>
        </is>
      </c>
      <c r="O1067" t="inlineStr">
        <is>
          <t>eng</t>
        </is>
      </c>
      <c r="P1067" t="inlineStr">
        <is>
          <t>nju</t>
        </is>
      </c>
      <c r="R1067" t="inlineStr">
        <is>
          <t xml:space="preserve">BF </t>
        </is>
      </c>
      <c r="S1067" t="n">
        <v>6</v>
      </c>
      <c r="T1067" t="n">
        <v>6</v>
      </c>
      <c r="U1067" t="inlineStr">
        <is>
          <t>1997-10-16</t>
        </is>
      </c>
      <c r="V1067" t="inlineStr">
        <is>
          <t>1997-10-16</t>
        </is>
      </c>
      <c r="W1067" t="inlineStr">
        <is>
          <t>1993-04-07</t>
        </is>
      </c>
      <c r="X1067" t="inlineStr">
        <is>
          <t>1993-04-07</t>
        </is>
      </c>
      <c r="Y1067" t="n">
        <v>312</v>
      </c>
      <c r="Z1067" t="n">
        <v>228</v>
      </c>
      <c r="AA1067" t="n">
        <v>229</v>
      </c>
      <c r="AB1067" t="n">
        <v>3</v>
      </c>
      <c r="AC1067" t="n">
        <v>3</v>
      </c>
      <c r="AD1067" t="n">
        <v>11</v>
      </c>
      <c r="AE1067" t="n">
        <v>11</v>
      </c>
      <c r="AF1067" t="n">
        <v>3</v>
      </c>
      <c r="AG1067" t="n">
        <v>3</v>
      </c>
      <c r="AH1067" t="n">
        <v>3</v>
      </c>
      <c r="AI1067" t="n">
        <v>3</v>
      </c>
      <c r="AJ1067" t="n">
        <v>7</v>
      </c>
      <c r="AK1067" t="n">
        <v>7</v>
      </c>
      <c r="AL1067" t="n">
        <v>2</v>
      </c>
      <c r="AM1067" t="n">
        <v>2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Yes</t>
        </is>
      </c>
      <c r="AR1067">
        <f>HYPERLINK("http://catalog.hathitrust.org/Record/000860375","HathiTrust Record")</f>
        <v/>
      </c>
      <c r="AS1067">
        <f>HYPERLINK("https://creighton-primo.hosted.exlibrisgroup.com/primo-explore/search?tab=default_tab&amp;search_scope=EVERYTHING&amp;vid=01CRU&amp;lang=en_US&amp;offset=0&amp;query=any,contains,991001042319702656","Catalog Record")</f>
        <v/>
      </c>
      <c r="AT1067">
        <f>HYPERLINK("http://www.worldcat.org/oclc/15590966","WorldCat Record")</f>
        <v/>
      </c>
      <c r="AU1067" t="inlineStr">
        <is>
          <t>889695977:eng</t>
        </is>
      </c>
      <c r="AV1067" t="inlineStr">
        <is>
          <t>15590966</t>
        </is>
      </c>
      <c r="AW1067" t="inlineStr">
        <is>
          <t>991001042319702656</t>
        </is>
      </c>
      <c r="AX1067" t="inlineStr">
        <is>
          <t>991001042319702656</t>
        </is>
      </c>
      <c r="AY1067" t="inlineStr">
        <is>
          <t>2263317020002656</t>
        </is>
      </c>
      <c r="AZ1067" t="inlineStr">
        <is>
          <t>BOOK</t>
        </is>
      </c>
      <c r="BB1067" t="inlineStr">
        <is>
          <t>9780893912963</t>
        </is>
      </c>
      <c r="BC1067" t="inlineStr">
        <is>
          <t>32285001604247</t>
        </is>
      </c>
      <c r="BD1067" t="inlineStr">
        <is>
          <t>893696410</t>
        </is>
      </c>
    </row>
    <row r="1068">
      <c r="A1068" t="inlineStr">
        <is>
          <t>No</t>
        </is>
      </c>
      <c r="B1068" t="inlineStr">
        <is>
          <t>BF723.C5 C565</t>
        </is>
      </c>
      <c r="C1068" t="inlineStr">
        <is>
          <t>0                      BF 0723000C  5                  C  565</t>
        </is>
      </c>
      <c r="D1068" t="inlineStr">
        <is>
          <t>Cognitive and affective growth : developmental interaction / edited by Edna K. Shapiro, Evelyn Weber.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L1068" t="inlineStr">
        <is>
          <t>Hillsdale, N.J. : L. Erlbaum Associates, 1981.</t>
        </is>
      </c>
      <c r="M1068" t="inlineStr">
        <is>
          <t>1981</t>
        </is>
      </c>
      <c r="O1068" t="inlineStr">
        <is>
          <t>eng</t>
        </is>
      </c>
      <c r="P1068" t="inlineStr">
        <is>
          <t>nju</t>
        </is>
      </c>
      <c r="R1068" t="inlineStr">
        <is>
          <t xml:space="preserve">BF </t>
        </is>
      </c>
      <c r="S1068" t="n">
        <v>3</v>
      </c>
      <c r="T1068" t="n">
        <v>3</v>
      </c>
      <c r="U1068" t="inlineStr">
        <is>
          <t>1999-02-27</t>
        </is>
      </c>
      <c r="V1068" t="inlineStr">
        <is>
          <t>1999-02-27</t>
        </is>
      </c>
      <c r="W1068" t="inlineStr">
        <is>
          <t>1992-07-14</t>
        </is>
      </c>
      <c r="X1068" t="inlineStr">
        <is>
          <t>1992-07-14</t>
        </is>
      </c>
      <c r="Y1068" t="n">
        <v>376</v>
      </c>
      <c r="Z1068" t="n">
        <v>289</v>
      </c>
      <c r="AA1068" t="n">
        <v>320</v>
      </c>
      <c r="AB1068" t="n">
        <v>2</v>
      </c>
      <c r="AC1068" t="n">
        <v>2</v>
      </c>
      <c r="AD1068" t="n">
        <v>11</v>
      </c>
      <c r="AE1068" t="n">
        <v>11</v>
      </c>
      <c r="AF1068" t="n">
        <v>2</v>
      </c>
      <c r="AG1068" t="n">
        <v>2</v>
      </c>
      <c r="AH1068" t="n">
        <v>3</v>
      </c>
      <c r="AI1068" t="n">
        <v>3</v>
      </c>
      <c r="AJ1068" t="n">
        <v>8</v>
      </c>
      <c r="AK1068" t="n">
        <v>8</v>
      </c>
      <c r="AL1068" t="n">
        <v>1</v>
      </c>
      <c r="AM1068" t="n">
        <v>1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Yes</t>
        </is>
      </c>
      <c r="AR1068">
        <f>HYPERLINK("http://catalog.hathitrust.org/Record/000227394","HathiTrust Record")</f>
        <v/>
      </c>
      <c r="AS1068">
        <f>HYPERLINK("https://creighton-primo.hosted.exlibrisgroup.com/primo-explore/search?tab=default_tab&amp;search_scope=EVERYTHING&amp;vid=01CRU&amp;lang=en_US&amp;offset=0&amp;query=any,contains,991005086729702656","Catalog Record")</f>
        <v/>
      </c>
      <c r="AT1068">
        <f>HYPERLINK("http://www.worldcat.org/oclc/7197083","WorldCat Record")</f>
        <v/>
      </c>
      <c r="AU1068" t="inlineStr">
        <is>
          <t>26791778:eng</t>
        </is>
      </c>
      <c r="AV1068" t="inlineStr">
        <is>
          <t>7197083</t>
        </is>
      </c>
      <c r="AW1068" t="inlineStr">
        <is>
          <t>991005086729702656</t>
        </is>
      </c>
      <c r="AX1068" t="inlineStr">
        <is>
          <t>991005086729702656</t>
        </is>
      </c>
      <c r="AY1068" t="inlineStr">
        <is>
          <t>2255486100002656</t>
        </is>
      </c>
      <c r="AZ1068" t="inlineStr">
        <is>
          <t>BOOK</t>
        </is>
      </c>
      <c r="BB1068" t="inlineStr">
        <is>
          <t>9780898590920</t>
        </is>
      </c>
      <c r="BC1068" t="inlineStr">
        <is>
          <t>32285001152593</t>
        </is>
      </c>
      <c r="BD1068" t="inlineStr">
        <is>
          <t>893694742</t>
        </is>
      </c>
    </row>
    <row r="1069">
      <c r="A1069" t="inlineStr">
        <is>
          <t>No</t>
        </is>
      </c>
      <c r="B1069" t="inlineStr">
        <is>
          <t>BF723.C5 C63</t>
        </is>
      </c>
      <c r="C1069" t="inlineStr">
        <is>
          <t>0                      BF 0723000C  5                  C  63</t>
        </is>
      </c>
      <c r="D1069" t="inlineStr">
        <is>
          <t>Cognitive development in the school years / edited by Ann Floyd.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L1069" t="inlineStr">
        <is>
          <t>New York : Wiley, c1979.</t>
        </is>
      </c>
      <c r="M1069" t="inlineStr">
        <is>
          <t>1979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BF </t>
        </is>
      </c>
      <c r="S1069" t="n">
        <v>8</v>
      </c>
      <c r="T1069" t="n">
        <v>8</v>
      </c>
      <c r="U1069" t="inlineStr">
        <is>
          <t>2010-10-25</t>
        </is>
      </c>
      <c r="V1069" t="inlineStr">
        <is>
          <t>2010-10-25</t>
        </is>
      </c>
      <c r="W1069" t="inlineStr">
        <is>
          <t>1992-12-09</t>
        </is>
      </c>
      <c r="X1069" t="inlineStr">
        <is>
          <t>1992-12-09</t>
        </is>
      </c>
      <c r="Y1069" t="n">
        <v>282</v>
      </c>
      <c r="Z1069" t="n">
        <v>254</v>
      </c>
      <c r="AA1069" t="n">
        <v>288</v>
      </c>
      <c r="AB1069" t="n">
        <v>4</v>
      </c>
      <c r="AC1069" t="n">
        <v>4</v>
      </c>
      <c r="AD1069" t="n">
        <v>10</v>
      </c>
      <c r="AE1069" t="n">
        <v>10</v>
      </c>
      <c r="AF1069" t="n">
        <v>2</v>
      </c>
      <c r="AG1069" t="n">
        <v>2</v>
      </c>
      <c r="AH1069" t="n">
        <v>2</v>
      </c>
      <c r="AI1069" t="n">
        <v>2</v>
      </c>
      <c r="AJ1069" t="n">
        <v>5</v>
      </c>
      <c r="AK1069" t="n">
        <v>5</v>
      </c>
      <c r="AL1069" t="n">
        <v>2</v>
      </c>
      <c r="AM1069" t="n">
        <v>2</v>
      </c>
      <c r="AN1069" t="n">
        <v>0</v>
      </c>
      <c r="AO1069" t="n">
        <v>0</v>
      </c>
      <c r="AP1069" t="inlineStr">
        <is>
          <t>No</t>
        </is>
      </c>
      <c r="AQ1069" t="inlineStr">
        <is>
          <t>Yes</t>
        </is>
      </c>
      <c r="AR1069">
        <f>HYPERLINK("http://catalog.hathitrust.org/Record/000174060","HathiTrust Record")</f>
        <v/>
      </c>
      <c r="AS1069">
        <f>HYPERLINK("https://creighton-primo.hosted.exlibrisgroup.com/primo-explore/search?tab=default_tab&amp;search_scope=EVERYTHING&amp;vid=01CRU&amp;lang=en_US&amp;offset=0&amp;query=any,contains,991004545549702656","Catalog Record")</f>
        <v/>
      </c>
      <c r="AT1069">
        <f>HYPERLINK("http://www.worldcat.org/oclc/3913319","WorldCat Record")</f>
        <v/>
      </c>
      <c r="AU1069" t="inlineStr">
        <is>
          <t>895957911:eng</t>
        </is>
      </c>
      <c r="AV1069" t="inlineStr">
        <is>
          <t>3913319</t>
        </is>
      </c>
      <c r="AW1069" t="inlineStr">
        <is>
          <t>991004545549702656</t>
        </is>
      </c>
      <c r="AX1069" t="inlineStr">
        <is>
          <t>991004545549702656</t>
        </is>
      </c>
      <c r="AY1069" t="inlineStr">
        <is>
          <t>2258232950002656</t>
        </is>
      </c>
      <c r="AZ1069" t="inlineStr">
        <is>
          <t>BOOK</t>
        </is>
      </c>
      <c r="BB1069" t="inlineStr">
        <is>
          <t>9780470264294</t>
        </is>
      </c>
      <c r="BC1069" t="inlineStr">
        <is>
          <t>32285001414662</t>
        </is>
      </c>
      <c r="BD1069" t="inlineStr">
        <is>
          <t>893606168</t>
        </is>
      </c>
    </row>
    <row r="1070">
      <c r="A1070" t="inlineStr">
        <is>
          <t>No</t>
        </is>
      </c>
      <c r="B1070" t="inlineStr">
        <is>
          <t>BF723.C5 D32 1985</t>
        </is>
      </c>
      <c r="C1070" t="inlineStr">
        <is>
          <t>0                      BF 0723000C  5                  D  32          1985</t>
        </is>
      </c>
      <c r="D1070" t="inlineStr">
        <is>
          <t>Cognitive development / Marvin W. Daehler, Danuta Bukatko.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K1070" t="inlineStr">
        <is>
          <t>Daehler, Marvin W., 1942-</t>
        </is>
      </c>
      <c r="L1070" t="inlineStr">
        <is>
          <t>New York : Knopf, c1985.</t>
        </is>
      </c>
      <c r="M1070" t="inlineStr">
        <is>
          <t>1985</t>
        </is>
      </c>
      <c r="N1070" t="inlineStr">
        <is>
          <t>1st ed.</t>
        </is>
      </c>
      <c r="O1070" t="inlineStr">
        <is>
          <t>eng</t>
        </is>
      </c>
      <c r="P1070" t="inlineStr">
        <is>
          <t>nyu</t>
        </is>
      </c>
      <c r="R1070" t="inlineStr">
        <is>
          <t xml:space="preserve">BF </t>
        </is>
      </c>
      <c r="S1070" t="n">
        <v>3</v>
      </c>
      <c r="T1070" t="n">
        <v>3</v>
      </c>
      <c r="U1070" t="inlineStr">
        <is>
          <t>2005-10-27</t>
        </is>
      </c>
      <c r="V1070" t="inlineStr">
        <is>
          <t>2005-10-27</t>
        </is>
      </c>
      <c r="W1070" t="inlineStr">
        <is>
          <t>1993-04-07</t>
        </is>
      </c>
      <c r="X1070" t="inlineStr">
        <is>
          <t>1993-04-07</t>
        </is>
      </c>
      <c r="Y1070" t="n">
        <v>207</v>
      </c>
      <c r="Z1070" t="n">
        <v>144</v>
      </c>
      <c r="AA1070" t="n">
        <v>145</v>
      </c>
      <c r="AB1070" t="n">
        <v>3</v>
      </c>
      <c r="AC1070" t="n">
        <v>3</v>
      </c>
      <c r="AD1070" t="n">
        <v>7</v>
      </c>
      <c r="AE1070" t="n">
        <v>7</v>
      </c>
      <c r="AF1070" t="n">
        <v>2</v>
      </c>
      <c r="AG1070" t="n">
        <v>2</v>
      </c>
      <c r="AH1070" t="n">
        <v>0</v>
      </c>
      <c r="AI1070" t="n">
        <v>0</v>
      </c>
      <c r="AJ1070" t="n">
        <v>5</v>
      </c>
      <c r="AK1070" t="n">
        <v>5</v>
      </c>
      <c r="AL1070" t="n">
        <v>2</v>
      </c>
      <c r="AM1070" t="n">
        <v>2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No</t>
        </is>
      </c>
      <c r="AS1070">
        <f>HYPERLINK("https://creighton-primo.hosted.exlibrisgroup.com/primo-explore/search?tab=default_tab&amp;search_scope=EVERYTHING&amp;vid=01CRU&amp;lang=en_US&amp;offset=0&amp;query=any,contains,991000529939702656","Catalog Record")</f>
        <v/>
      </c>
      <c r="AT1070">
        <f>HYPERLINK("http://www.worldcat.org/oclc/11397870","WorldCat Record")</f>
        <v/>
      </c>
      <c r="AU1070" t="inlineStr">
        <is>
          <t>4146239:eng</t>
        </is>
      </c>
      <c r="AV1070" t="inlineStr">
        <is>
          <t>11397870</t>
        </is>
      </c>
      <c r="AW1070" t="inlineStr">
        <is>
          <t>991000529939702656</t>
        </is>
      </c>
      <c r="AX1070" t="inlineStr">
        <is>
          <t>991000529939702656</t>
        </is>
      </c>
      <c r="AY1070" t="inlineStr">
        <is>
          <t>2267097140002656</t>
        </is>
      </c>
      <c r="AZ1070" t="inlineStr">
        <is>
          <t>BOOK</t>
        </is>
      </c>
      <c r="BB1070" t="inlineStr">
        <is>
          <t>9780394332598</t>
        </is>
      </c>
      <c r="BC1070" t="inlineStr">
        <is>
          <t>32285001604254</t>
        </is>
      </c>
      <c r="BD1070" t="inlineStr">
        <is>
          <t>893237391</t>
        </is>
      </c>
    </row>
    <row r="1071">
      <c r="A1071" t="inlineStr">
        <is>
          <t>No</t>
        </is>
      </c>
      <c r="B1071" t="inlineStr">
        <is>
          <t>BF723.C5 D468 1988</t>
        </is>
      </c>
      <c r="C1071" t="inlineStr">
        <is>
          <t>0                      BF 0723000C  5                  D  468         1988</t>
        </is>
      </c>
      <c r="D1071" t="inlineStr">
        <is>
          <t>Developing theories of mind / edited by Janet W. Astington, Paul L. Harris, David R. Olson.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L1071" t="inlineStr">
        <is>
          <t>Cambridge, [England] ; New York : Cambridge University Press, 1988.</t>
        </is>
      </c>
      <c r="M1071" t="inlineStr">
        <is>
          <t>1988</t>
        </is>
      </c>
      <c r="O1071" t="inlineStr">
        <is>
          <t>eng</t>
        </is>
      </c>
      <c r="P1071" t="inlineStr">
        <is>
          <t>enk</t>
        </is>
      </c>
      <c r="R1071" t="inlineStr">
        <is>
          <t xml:space="preserve">BF </t>
        </is>
      </c>
      <c r="S1071" t="n">
        <v>2</v>
      </c>
      <c r="T1071" t="n">
        <v>2</v>
      </c>
      <c r="U1071" t="inlineStr">
        <is>
          <t>2002-03-24</t>
        </is>
      </c>
      <c r="V1071" t="inlineStr">
        <is>
          <t>2002-03-24</t>
        </is>
      </c>
      <c r="W1071" t="inlineStr">
        <is>
          <t>1990-12-06</t>
        </is>
      </c>
      <c r="X1071" t="inlineStr">
        <is>
          <t>1990-12-06</t>
        </is>
      </c>
      <c r="Y1071" t="n">
        <v>723</v>
      </c>
      <c r="Z1071" t="n">
        <v>530</v>
      </c>
      <c r="AA1071" t="n">
        <v>546</v>
      </c>
      <c r="AB1071" t="n">
        <v>6</v>
      </c>
      <c r="AC1071" t="n">
        <v>6</v>
      </c>
      <c r="AD1071" t="n">
        <v>28</v>
      </c>
      <c r="AE1071" t="n">
        <v>28</v>
      </c>
      <c r="AF1071" t="n">
        <v>7</v>
      </c>
      <c r="AG1071" t="n">
        <v>7</v>
      </c>
      <c r="AH1071" t="n">
        <v>6</v>
      </c>
      <c r="AI1071" t="n">
        <v>6</v>
      </c>
      <c r="AJ1071" t="n">
        <v>17</v>
      </c>
      <c r="AK1071" t="n">
        <v>17</v>
      </c>
      <c r="AL1071" t="n">
        <v>5</v>
      </c>
      <c r="AM1071" t="n">
        <v>5</v>
      </c>
      <c r="AN1071" t="n">
        <v>0</v>
      </c>
      <c r="AO1071" t="n">
        <v>0</v>
      </c>
      <c r="AP1071" t="inlineStr">
        <is>
          <t>No</t>
        </is>
      </c>
      <c r="AQ1071" t="inlineStr">
        <is>
          <t>No</t>
        </is>
      </c>
      <c r="AS1071">
        <f>HYPERLINK("https://creighton-primo.hosted.exlibrisgroup.com/primo-explore/search?tab=default_tab&amp;search_scope=EVERYTHING&amp;vid=01CRU&amp;lang=en_US&amp;offset=0&amp;query=any,contains,991001188869702656","Catalog Record")</f>
        <v/>
      </c>
      <c r="AT1071">
        <f>HYPERLINK("http://www.worldcat.org/oclc/17234097","WorldCat Record")</f>
        <v/>
      </c>
      <c r="AU1071" t="inlineStr">
        <is>
          <t>365129982:eng</t>
        </is>
      </c>
      <c r="AV1071" t="inlineStr">
        <is>
          <t>17234097</t>
        </is>
      </c>
      <c r="AW1071" t="inlineStr">
        <is>
          <t>991001188869702656</t>
        </is>
      </c>
      <c r="AX1071" t="inlineStr">
        <is>
          <t>991001188869702656</t>
        </is>
      </c>
      <c r="AY1071" t="inlineStr">
        <is>
          <t>2271946610002656</t>
        </is>
      </c>
      <c r="AZ1071" t="inlineStr">
        <is>
          <t>BOOK</t>
        </is>
      </c>
      <c r="BB1071" t="inlineStr">
        <is>
          <t>9780521354110</t>
        </is>
      </c>
      <c r="BC1071" t="inlineStr">
        <is>
          <t>32285000358902</t>
        </is>
      </c>
      <c r="BD1071" t="inlineStr">
        <is>
          <t>893590091</t>
        </is>
      </c>
    </row>
    <row r="1072">
      <c r="A1072" t="inlineStr">
        <is>
          <t>No</t>
        </is>
      </c>
      <c r="B1072" t="inlineStr">
        <is>
          <t>BF723.C5 D48</t>
        </is>
      </c>
      <c r="C1072" t="inlineStr">
        <is>
          <t>0                      BF 0723000C  5                  D  48</t>
        </is>
      </c>
      <c r="D1072" t="inlineStr">
        <is>
          <t>The Development of adaptive intelligence; [a cross-cultural study] by Carol Fleisher Feldman [and others.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L1072" t="inlineStr">
        <is>
          <t>San Francisco, Jossey-Bass, 1974.</t>
        </is>
      </c>
      <c r="M1072" t="inlineStr">
        <is>
          <t>1974</t>
        </is>
      </c>
      <c r="N1072" t="inlineStr">
        <is>
          <t>1st ed.]</t>
        </is>
      </c>
      <c r="O1072" t="inlineStr">
        <is>
          <t>eng</t>
        </is>
      </c>
      <c r="P1072" t="inlineStr">
        <is>
          <t>cau</t>
        </is>
      </c>
      <c r="Q1072" t="inlineStr">
        <is>
          <t>The Jossey-Bass behavioral science series</t>
        </is>
      </c>
      <c r="R1072" t="inlineStr">
        <is>
          <t xml:space="preserve">BF </t>
        </is>
      </c>
      <c r="S1072" t="n">
        <v>1</v>
      </c>
      <c r="T1072" t="n">
        <v>1</v>
      </c>
      <c r="U1072" t="inlineStr">
        <is>
          <t>1997-08-05</t>
        </is>
      </c>
      <c r="V1072" t="inlineStr">
        <is>
          <t>1997-08-05</t>
        </is>
      </c>
      <c r="W1072" t="inlineStr">
        <is>
          <t>1996-08-06</t>
        </is>
      </c>
      <c r="X1072" t="inlineStr">
        <is>
          <t>1996-08-06</t>
        </is>
      </c>
      <c r="Y1072" t="n">
        <v>468</v>
      </c>
      <c r="Z1072" t="n">
        <v>405</v>
      </c>
      <c r="AA1072" t="n">
        <v>458</v>
      </c>
      <c r="AB1072" t="n">
        <v>3</v>
      </c>
      <c r="AC1072" t="n">
        <v>3</v>
      </c>
      <c r="AD1072" t="n">
        <v>18</v>
      </c>
      <c r="AE1072" t="n">
        <v>19</v>
      </c>
      <c r="AF1072" t="n">
        <v>5</v>
      </c>
      <c r="AG1072" t="n">
        <v>5</v>
      </c>
      <c r="AH1072" t="n">
        <v>4</v>
      </c>
      <c r="AI1072" t="n">
        <v>5</v>
      </c>
      <c r="AJ1072" t="n">
        <v>10</v>
      </c>
      <c r="AK1072" t="n">
        <v>11</v>
      </c>
      <c r="AL1072" t="n">
        <v>2</v>
      </c>
      <c r="AM1072" t="n">
        <v>2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Yes</t>
        </is>
      </c>
      <c r="AR1072">
        <f>HYPERLINK("http://catalog.hathitrust.org/Record/000472265","HathiTrust Record")</f>
        <v/>
      </c>
      <c r="AS1072">
        <f>HYPERLINK("https://creighton-primo.hosted.exlibrisgroup.com/primo-explore/search?tab=default_tab&amp;search_scope=EVERYTHING&amp;vid=01CRU&amp;lang=en_US&amp;offset=0&amp;query=any,contains,991003404139702656","Catalog Record")</f>
        <v/>
      </c>
      <c r="AT1072">
        <f>HYPERLINK("http://www.worldcat.org/oclc/943856","WorldCat Record")</f>
        <v/>
      </c>
      <c r="AU1072" t="inlineStr">
        <is>
          <t>54013970:eng</t>
        </is>
      </c>
      <c r="AV1072" t="inlineStr">
        <is>
          <t>943856</t>
        </is>
      </c>
      <c r="AW1072" t="inlineStr">
        <is>
          <t>991003404139702656</t>
        </is>
      </c>
      <c r="AX1072" t="inlineStr">
        <is>
          <t>991003404139702656</t>
        </is>
      </c>
      <c r="AY1072" t="inlineStr">
        <is>
          <t>2266497420002656</t>
        </is>
      </c>
      <c r="AZ1072" t="inlineStr">
        <is>
          <t>BOOK</t>
        </is>
      </c>
      <c r="BB1072" t="inlineStr">
        <is>
          <t>9780875892245</t>
        </is>
      </c>
      <c r="BC1072" t="inlineStr">
        <is>
          <t>32285002256054</t>
        </is>
      </c>
      <c r="BD1072" t="inlineStr">
        <is>
          <t>893228029</t>
        </is>
      </c>
    </row>
    <row r="1073">
      <c r="A1073" t="inlineStr">
        <is>
          <t>No</t>
        </is>
      </c>
      <c r="B1073" t="inlineStr">
        <is>
          <t>BF723.C5 E43</t>
        </is>
      </c>
      <c r="C1073" t="inlineStr">
        <is>
          <t>0                      BF 0723000C  5                  E  43</t>
        </is>
      </c>
      <c r="D1073" t="inlineStr">
        <is>
          <t>The child's reality : three developmental themes / David Elkind. --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Elkind, David, 1931-</t>
        </is>
      </c>
      <c r="L1073" t="inlineStr">
        <is>
          <t>Hillsdale, N.J. : Lawrence Erlbaum Associates ; New York : distributed by Halsted Press, 1978.</t>
        </is>
      </c>
      <c r="M1073" t="inlineStr">
        <is>
          <t>1978</t>
        </is>
      </c>
      <c r="O1073" t="inlineStr">
        <is>
          <t>eng</t>
        </is>
      </c>
      <c r="P1073" t="inlineStr">
        <is>
          <t>nju</t>
        </is>
      </c>
      <c r="Q1073" t="inlineStr">
        <is>
          <t>John M. MacEachran memorial lecture series ; 1976</t>
        </is>
      </c>
      <c r="R1073" t="inlineStr">
        <is>
          <t xml:space="preserve">BF </t>
        </is>
      </c>
      <c r="S1073" t="n">
        <v>8</v>
      </c>
      <c r="T1073" t="n">
        <v>8</v>
      </c>
      <c r="U1073" t="inlineStr">
        <is>
          <t>2000-04-08</t>
        </is>
      </c>
      <c r="V1073" t="inlineStr">
        <is>
          <t>2000-04-08</t>
        </is>
      </c>
      <c r="W1073" t="inlineStr">
        <is>
          <t>1993-04-07</t>
        </is>
      </c>
      <c r="X1073" t="inlineStr">
        <is>
          <t>1993-04-07</t>
        </is>
      </c>
      <c r="Y1073" t="n">
        <v>898</v>
      </c>
      <c r="Z1073" t="n">
        <v>771</v>
      </c>
      <c r="AA1073" t="n">
        <v>802</v>
      </c>
      <c r="AB1073" t="n">
        <v>6</v>
      </c>
      <c r="AC1073" t="n">
        <v>6</v>
      </c>
      <c r="AD1073" t="n">
        <v>34</v>
      </c>
      <c r="AE1073" t="n">
        <v>34</v>
      </c>
      <c r="AF1073" t="n">
        <v>16</v>
      </c>
      <c r="AG1073" t="n">
        <v>16</v>
      </c>
      <c r="AH1073" t="n">
        <v>7</v>
      </c>
      <c r="AI1073" t="n">
        <v>7</v>
      </c>
      <c r="AJ1073" t="n">
        <v>17</v>
      </c>
      <c r="AK1073" t="n">
        <v>17</v>
      </c>
      <c r="AL1073" t="n">
        <v>3</v>
      </c>
      <c r="AM1073" t="n">
        <v>3</v>
      </c>
      <c r="AN1073" t="n">
        <v>0</v>
      </c>
      <c r="AO1073" t="n">
        <v>0</v>
      </c>
      <c r="AP1073" t="inlineStr">
        <is>
          <t>No</t>
        </is>
      </c>
      <c r="AQ1073" t="inlineStr">
        <is>
          <t>Yes</t>
        </is>
      </c>
      <c r="AR1073">
        <f>HYPERLINK("http://catalog.hathitrust.org/Record/000135140","HathiTrust Record")</f>
        <v/>
      </c>
      <c r="AS1073">
        <f>HYPERLINK("https://creighton-primo.hosted.exlibrisgroup.com/primo-explore/search?tab=default_tab&amp;search_scope=EVERYTHING&amp;vid=01CRU&amp;lang=en_US&amp;offset=0&amp;query=any,contains,991004524939702656","Catalog Record")</f>
        <v/>
      </c>
      <c r="AT1073">
        <f>HYPERLINK("http://www.worldcat.org/oclc/3843000","WorldCat Record")</f>
        <v/>
      </c>
      <c r="AU1073" t="inlineStr">
        <is>
          <t>13283566:eng</t>
        </is>
      </c>
      <c r="AV1073" t="inlineStr">
        <is>
          <t>3843000</t>
        </is>
      </c>
      <c r="AW1073" t="inlineStr">
        <is>
          <t>991004524939702656</t>
        </is>
      </c>
      <c r="AX1073" t="inlineStr">
        <is>
          <t>991004524939702656</t>
        </is>
      </c>
      <c r="AY1073" t="inlineStr">
        <is>
          <t>2266286370002656</t>
        </is>
      </c>
      <c r="AZ1073" t="inlineStr">
        <is>
          <t>BOOK</t>
        </is>
      </c>
      <c r="BB1073" t="inlineStr">
        <is>
          <t>9780470263761</t>
        </is>
      </c>
      <c r="BC1073" t="inlineStr">
        <is>
          <t>32285001604270</t>
        </is>
      </c>
      <c r="BD1073" t="inlineStr">
        <is>
          <t>893343942</t>
        </is>
      </c>
    </row>
    <row r="1074">
      <c r="A1074" t="inlineStr">
        <is>
          <t>No</t>
        </is>
      </c>
      <c r="B1074" t="inlineStr">
        <is>
          <t>BF723.C5 E64</t>
        </is>
      </c>
      <c r="C1074" t="inlineStr">
        <is>
          <t>0                      BF 0723000C  5                  E  64</t>
        </is>
      </c>
      <c r="D1074" t="inlineStr">
        <is>
          <t>Equilibration : theory, research, and application / edited by Marilyn H. Appel and Lois S. Goldberg.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L1074" t="inlineStr">
        <is>
          <t>New York : Plenum Press, c1977.</t>
        </is>
      </c>
      <c r="M1074" t="inlineStr">
        <is>
          <t>1977</t>
        </is>
      </c>
      <c r="O1074" t="inlineStr">
        <is>
          <t>eng</t>
        </is>
      </c>
      <c r="P1074" t="inlineStr">
        <is>
          <t>nyu</t>
        </is>
      </c>
      <c r="Q1074" t="inlineStr">
        <is>
          <t>Topics in cognitive development ; v. 1</t>
        </is>
      </c>
      <c r="R1074" t="inlineStr">
        <is>
          <t xml:space="preserve">BF </t>
        </is>
      </c>
      <c r="S1074" t="n">
        <v>4</v>
      </c>
      <c r="T1074" t="n">
        <v>4</v>
      </c>
      <c r="U1074" t="inlineStr">
        <is>
          <t>2007-04-19</t>
        </is>
      </c>
      <c r="V1074" t="inlineStr">
        <is>
          <t>2007-04-19</t>
        </is>
      </c>
      <c r="W1074" t="inlineStr">
        <is>
          <t>1995-03-13</t>
        </is>
      </c>
      <c r="X1074" t="inlineStr">
        <is>
          <t>1995-03-13</t>
        </is>
      </c>
      <c r="Y1074" t="n">
        <v>475</v>
      </c>
      <c r="Z1074" t="n">
        <v>361</v>
      </c>
      <c r="AA1074" t="n">
        <v>367</v>
      </c>
      <c r="AB1074" t="n">
        <v>3</v>
      </c>
      <c r="AC1074" t="n">
        <v>3</v>
      </c>
      <c r="AD1074" t="n">
        <v>17</v>
      </c>
      <c r="AE1074" t="n">
        <v>17</v>
      </c>
      <c r="AF1074" t="n">
        <v>4</v>
      </c>
      <c r="AG1074" t="n">
        <v>4</v>
      </c>
      <c r="AH1074" t="n">
        <v>4</v>
      </c>
      <c r="AI1074" t="n">
        <v>4</v>
      </c>
      <c r="AJ1074" t="n">
        <v>10</v>
      </c>
      <c r="AK1074" t="n">
        <v>10</v>
      </c>
      <c r="AL1074" t="n">
        <v>2</v>
      </c>
      <c r="AM1074" t="n">
        <v>2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Yes</t>
        </is>
      </c>
      <c r="AR1074">
        <f>HYPERLINK("http://catalog.hathitrust.org/Record/000725026","HathiTrust Record")</f>
        <v/>
      </c>
      <c r="AS1074">
        <f>HYPERLINK("https://creighton-primo.hosted.exlibrisgroup.com/primo-explore/search?tab=default_tab&amp;search_scope=EVERYTHING&amp;vid=01CRU&amp;lang=en_US&amp;offset=0&amp;query=any,contains,991004268419702656","Catalog Record")</f>
        <v/>
      </c>
      <c r="AT1074">
        <f>HYPERLINK("http://www.worldcat.org/oclc/2873814","WorldCat Record")</f>
        <v/>
      </c>
      <c r="AU1074" t="inlineStr">
        <is>
          <t>889558594:eng</t>
        </is>
      </c>
      <c r="AV1074" t="inlineStr">
        <is>
          <t>2873814</t>
        </is>
      </c>
      <c r="AW1074" t="inlineStr">
        <is>
          <t>991004268419702656</t>
        </is>
      </c>
      <c r="AX1074" t="inlineStr">
        <is>
          <t>991004268419702656</t>
        </is>
      </c>
      <c r="AY1074" t="inlineStr">
        <is>
          <t>2259297280002656</t>
        </is>
      </c>
      <c r="AZ1074" t="inlineStr">
        <is>
          <t>BOOK</t>
        </is>
      </c>
      <c r="BB1074" t="inlineStr">
        <is>
          <t>9780306330018</t>
        </is>
      </c>
      <c r="BC1074" t="inlineStr">
        <is>
          <t>32285002020229</t>
        </is>
      </c>
      <c r="BD1074" t="inlineStr">
        <is>
          <t>893612149</t>
        </is>
      </c>
    </row>
    <row r="1075">
      <c r="A1075" t="inlineStr">
        <is>
          <t>No</t>
        </is>
      </c>
      <c r="B1075" t="inlineStr">
        <is>
          <t>BF723.C5 F62 1985</t>
        </is>
      </c>
      <c r="C1075" t="inlineStr">
        <is>
          <t>0                      BF 0723000C  5                  F  62          1985</t>
        </is>
      </c>
      <c r="D1075" t="inlineStr">
        <is>
          <t>Cognitive development / John H. Flavell.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Yes</t>
        </is>
      </c>
      <c r="J1075" t="inlineStr">
        <is>
          <t>0</t>
        </is>
      </c>
      <c r="K1075" t="inlineStr">
        <is>
          <t>Flavell, John H.</t>
        </is>
      </c>
      <c r="L1075" t="inlineStr">
        <is>
          <t>Englewood Cliffs, N.J. : Prentice-Hall, c1985.</t>
        </is>
      </c>
      <c r="M1075" t="inlineStr">
        <is>
          <t>1985</t>
        </is>
      </c>
      <c r="N1075" t="inlineStr">
        <is>
          <t>2nd ed.</t>
        </is>
      </c>
      <c r="O1075" t="inlineStr">
        <is>
          <t>eng</t>
        </is>
      </c>
      <c r="P1075" t="inlineStr">
        <is>
          <t>nju</t>
        </is>
      </c>
      <c r="R1075" t="inlineStr">
        <is>
          <t xml:space="preserve">BF </t>
        </is>
      </c>
      <c r="S1075" t="n">
        <v>12</v>
      </c>
      <c r="T1075" t="n">
        <v>12</v>
      </c>
      <c r="U1075" t="inlineStr">
        <is>
          <t>1997-07-27</t>
        </is>
      </c>
      <c r="V1075" t="inlineStr">
        <is>
          <t>1997-07-27</t>
        </is>
      </c>
      <c r="W1075" t="inlineStr">
        <is>
          <t>1992-01-06</t>
        </is>
      </c>
      <c r="X1075" t="inlineStr">
        <is>
          <t>1992-01-06</t>
        </is>
      </c>
      <c r="Y1075" t="n">
        <v>550</v>
      </c>
      <c r="Z1075" t="n">
        <v>365</v>
      </c>
      <c r="AA1075" t="n">
        <v>1138</v>
      </c>
      <c r="AB1075" t="n">
        <v>1</v>
      </c>
      <c r="AC1075" t="n">
        <v>9</v>
      </c>
      <c r="AD1075" t="n">
        <v>12</v>
      </c>
      <c r="AE1075" t="n">
        <v>43</v>
      </c>
      <c r="AF1075" t="n">
        <v>6</v>
      </c>
      <c r="AG1075" t="n">
        <v>20</v>
      </c>
      <c r="AH1075" t="n">
        <v>3</v>
      </c>
      <c r="AI1075" t="n">
        <v>8</v>
      </c>
      <c r="AJ1075" t="n">
        <v>7</v>
      </c>
      <c r="AK1075" t="n">
        <v>22</v>
      </c>
      <c r="AL1075" t="n">
        <v>0</v>
      </c>
      <c r="AM1075" t="n">
        <v>6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Yes</t>
        </is>
      </c>
      <c r="AR1075">
        <f>HYPERLINK("http://catalog.hathitrust.org/Record/000568411","HathiTrust Record")</f>
        <v/>
      </c>
      <c r="AS1075">
        <f>HYPERLINK("https://creighton-primo.hosted.exlibrisgroup.com/primo-explore/search?tab=default_tab&amp;search_scope=EVERYTHING&amp;vid=01CRU&amp;lang=en_US&amp;offset=0&amp;query=any,contains,991000464899702656","Catalog Record")</f>
        <v/>
      </c>
      <c r="AT1075">
        <f>HYPERLINK("http://www.worldcat.org/oclc/10949982","WorldCat Record")</f>
        <v/>
      </c>
      <c r="AU1075" t="inlineStr">
        <is>
          <t>4820499827:eng</t>
        </is>
      </c>
      <c r="AV1075" t="inlineStr">
        <is>
          <t>10949982</t>
        </is>
      </c>
      <c r="AW1075" t="inlineStr">
        <is>
          <t>991000464899702656</t>
        </is>
      </c>
      <c r="AX1075" t="inlineStr">
        <is>
          <t>991000464899702656</t>
        </is>
      </c>
      <c r="AY1075" t="inlineStr">
        <is>
          <t>2271478720002656</t>
        </is>
      </c>
      <c r="AZ1075" t="inlineStr">
        <is>
          <t>BOOK</t>
        </is>
      </c>
      <c r="BB1075" t="inlineStr">
        <is>
          <t>9780131397835</t>
        </is>
      </c>
      <c r="BC1075" t="inlineStr">
        <is>
          <t>32285000883289</t>
        </is>
      </c>
      <c r="BD1075" t="inlineStr">
        <is>
          <t>893595564</t>
        </is>
      </c>
    </row>
    <row r="1076">
      <c r="A1076" t="inlineStr">
        <is>
          <t>No</t>
        </is>
      </c>
      <c r="B1076" t="inlineStr">
        <is>
          <t>BF723.C5 F78 1987</t>
        </is>
      </c>
      <c r="C1076" t="inlineStr">
        <is>
          <t>0                      BF 0723000C  5                  F  78          1987</t>
        </is>
      </c>
      <c r="D1076" t="inlineStr">
        <is>
          <t>Cognitive processes in children's learning : practical applications in educational practice and classroom management / by Prem S. Fry and Judy Lee Lupart.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Fry, Prem S.</t>
        </is>
      </c>
      <c r="L1076" t="inlineStr">
        <is>
          <t>Springfield, Ill., U.S.A. : C.C. Thomas, c1987.</t>
        </is>
      </c>
      <c r="M1076" t="inlineStr">
        <is>
          <t>1986</t>
        </is>
      </c>
      <c r="O1076" t="inlineStr">
        <is>
          <t>eng</t>
        </is>
      </c>
      <c r="P1076" t="inlineStr">
        <is>
          <t>ilu</t>
        </is>
      </c>
      <c r="R1076" t="inlineStr">
        <is>
          <t xml:space="preserve">BF </t>
        </is>
      </c>
      <c r="S1076" t="n">
        <v>1</v>
      </c>
      <c r="T1076" t="n">
        <v>1</v>
      </c>
      <c r="U1076" t="inlineStr">
        <is>
          <t>1998-10-05</t>
        </is>
      </c>
      <c r="V1076" t="inlineStr">
        <is>
          <t>1998-10-05</t>
        </is>
      </c>
      <c r="W1076" t="inlineStr">
        <is>
          <t>1992-12-10</t>
        </is>
      </c>
      <c r="X1076" t="inlineStr">
        <is>
          <t>1992-12-10</t>
        </is>
      </c>
      <c r="Y1076" t="n">
        <v>523</v>
      </c>
      <c r="Z1076" t="n">
        <v>474</v>
      </c>
      <c r="AA1076" t="n">
        <v>482</v>
      </c>
      <c r="AB1076" t="n">
        <v>6</v>
      </c>
      <c r="AC1076" t="n">
        <v>6</v>
      </c>
      <c r="AD1076" t="n">
        <v>23</v>
      </c>
      <c r="AE1076" t="n">
        <v>23</v>
      </c>
      <c r="AF1076" t="n">
        <v>9</v>
      </c>
      <c r="AG1076" t="n">
        <v>9</v>
      </c>
      <c r="AH1076" t="n">
        <v>3</v>
      </c>
      <c r="AI1076" t="n">
        <v>3</v>
      </c>
      <c r="AJ1076" t="n">
        <v>10</v>
      </c>
      <c r="AK1076" t="n">
        <v>10</v>
      </c>
      <c r="AL1076" t="n">
        <v>5</v>
      </c>
      <c r="AM1076" t="n">
        <v>5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Yes</t>
        </is>
      </c>
      <c r="AR1076">
        <f>HYPERLINK("http://catalog.hathitrust.org/Record/000829675","HathiTrust Record")</f>
        <v/>
      </c>
      <c r="AS1076">
        <f>HYPERLINK("https://creighton-primo.hosted.exlibrisgroup.com/primo-explore/search?tab=default_tab&amp;search_scope=EVERYTHING&amp;vid=01CRU&amp;lang=en_US&amp;offset=0&amp;query=any,contains,991000873449702656","Catalog Record")</f>
        <v/>
      </c>
      <c r="AT1076">
        <f>HYPERLINK("http://www.worldcat.org/oclc/13794738","WorldCat Record")</f>
        <v/>
      </c>
      <c r="AU1076" t="inlineStr">
        <is>
          <t>7923514:eng</t>
        </is>
      </c>
      <c r="AV1076" t="inlineStr">
        <is>
          <t>13794738</t>
        </is>
      </c>
      <c r="AW1076" t="inlineStr">
        <is>
          <t>991000873449702656</t>
        </is>
      </c>
      <c r="AX1076" t="inlineStr">
        <is>
          <t>991000873449702656</t>
        </is>
      </c>
      <c r="AY1076" t="inlineStr">
        <is>
          <t>2271644140002656</t>
        </is>
      </c>
      <c r="AZ1076" t="inlineStr">
        <is>
          <t>BOOK</t>
        </is>
      </c>
      <c r="BB1076" t="inlineStr">
        <is>
          <t>9780398052706</t>
        </is>
      </c>
      <c r="BC1076" t="inlineStr">
        <is>
          <t>32285001441111</t>
        </is>
      </c>
      <c r="BD1076" t="inlineStr">
        <is>
          <t>893237682</t>
        </is>
      </c>
    </row>
    <row r="1077">
      <c r="A1077" t="inlineStr">
        <is>
          <t>No</t>
        </is>
      </c>
      <c r="B1077" t="inlineStr">
        <is>
          <t>BF723.C5 H9 1970</t>
        </is>
      </c>
      <c r="C1077" t="inlineStr">
        <is>
          <t>0                      BF 0723000C  5                  H  9           1970</t>
        </is>
      </c>
      <c r="D1077" t="inlineStr">
        <is>
          <t>Piaget and conceptual development : with a cross-cultural study of number and quantity / [by] D. M. G. Hyde.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Hyde, D. M. Georgie.</t>
        </is>
      </c>
      <c r="L1077" t="inlineStr">
        <is>
          <t>London ; New York : Holt, Rinehart &amp; Winston, 1970.</t>
        </is>
      </c>
      <c r="M1077" t="inlineStr">
        <is>
          <t>1970</t>
        </is>
      </c>
      <c r="O1077" t="inlineStr">
        <is>
          <t>eng</t>
        </is>
      </c>
      <c r="P1077" t="inlineStr">
        <is>
          <t>enk</t>
        </is>
      </c>
      <c r="R1077" t="inlineStr">
        <is>
          <t xml:space="preserve">BF </t>
        </is>
      </c>
      <c r="S1077" t="n">
        <v>5</v>
      </c>
      <c r="T1077" t="n">
        <v>5</v>
      </c>
      <c r="U1077" t="inlineStr">
        <is>
          <t>2009-03-05</t>
        </is>
      </c>
      <c r="V1077" t="inlineStr">
        <is>
          <t>2009-03-05</t>
        </is>
      </c>
      <c r="W1077" t="inlineStr">
        <is>
          <t>1991-05-20</t>
        </is>
      </c>
      <c r="X1077" t="inlineStr">
        <is>
          <t>1991-05-20</t>
        </is>
      </c>
      <c r="Y1077" t="n">
        <v>263</v>
      </c>
      <c r="Z1077" t="n">
        <v>101</v>
      </c>
      <c r="AA1077" t="n">
        <v>103</v>
      </c>
      <c r="AB1077" t="n">
        <v>1</v>
      </c>
      <c r="AC1077" t="n">
        <v>1</v>
      </c>
      <c r="AD1077" t="n">
        <v>6</v>
      </c>
      <c r="AE1077" t="n">
        <v>6</v>
      </c>
      <c r="AF1077" t="n">
        <v>3</v>
      </c>
      <c r="AG1077" t="n">
        <v>3</v>
      </c>
      <c r="AH1077" t="n">
        <v>1</v>
      </c>
      <c r="AI1077" t="n">
        <v>1</v>
      </c>
      <c r="AJ1077" t="n">
        <v>6</v>
      </c>
      <c r="AK1077" t="n">
        <v>6</v>
      </c>
      <c r="AL1077" t="n">
        <v>0</v>
      </c>
      <c r="AM1077" t="n">
        <v>0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Yes</t>
        </is>
      </c>
      <c r="AR1077">
        <f>HYPERLINK("http://catalog.hathitrust.org/Record/000431458","HathiTrust Record")</f>
        <v/>
      </c>
      <c r="AS1077">
        <f>HYPERLINK("https://creighton-primo.hosted.exlibrisgroup.com/primo-explore/search?tab=default_tab&amp;search_scope=EVERYTHING&amp;vid=01CRU&amp;lang=en_US&amp;offset=0&amp;query=any,contains,991001229309702656","Catalog Record")</f>
        <v/>
      </c>
      <c r="AT1077">
        <f>HYPERLINK("http://www.worldcat.org/oclc/202045","WorldCat Record")</f>
        <v/>
      </c>
      <c r="AU1077" t="inlineStr">
        <is>
          <t>836680394:eng</t>
        </is>
      </c>
      <c r="AV1077" t="inlineStr">
        <is>
          <t>202045</t>
        </is>
      </c>
      <c r="AW1077" t="inlineStr">
        <is>
          <t>991001229309702656</t>
        </is>
      </c>
      <c r="AX1077" t="inlineStr">
        <is>
          <t>991001229309702656</t>
        </is>
      </c>
      <c r="AY1077" t="inlineStr">
        <is>
          <t>2258541070002656</t>
        </is>
      </c>
      <c r="AZ1077" t="inlineStr">
        <is>
          <t>BOOK</t>
        </is>
      </c>
      <c r="BB1077" t="inlineStr">
        <is>
          <t>9780039100735</t>
        </is>
      </c>
      <c r="BC1077" t="inlineStr">
        <is>
          <t>32285000597608</t>
        </is>
      </c>
      <c r="BD1077" t="inlineStr">
        <is>
          <t>893614882</t>
        </is>
      </c>
    </row>
    <row r="1078">
      <c r="A1078" t="inlineStr">
        <is>
          <t>No</t>
        </is>
      </c>
      <c r="B1078" t="inlineStr">
        <is>
          <t>BF723.C5 I46</t>
        </is>
      </c>
      <c r="C1078" t="inlineStr">
        <is>
          <t>0                      BF 0723000C  5                  I  46</t>
        </is>
      </c>
      <c r="D1078" t="inlineStr">
        <is>
          <t>The Impact of Piagetian theory : on education, philosophy, psychiatry, and psychology / edited by Frank B. Murray ; contributors, Millie Almy ... [et al.].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L1078" t="inlineStr">
        <is>
          <t>Baltimore : University Park Press, c1979.</t>
        </is>
      </c>
      <c r="M1078" t="inlineStr">
        <is>
          <t>1979</t>
        </is>
      </c>
      <c r="O1078" t="inlineStr">
        <is>
          <t>eng</t>
        </is>
      </c>
      <c r="P1078" t="inlineStr">
        <is>
          <t>mdu</t>
        </is>
      </c>
      <c r="Q1078" t="inlineStr">
        <is>
          <t>A publication of the Jean Piaget Society</t>
        </is>
      </c>
      <c r="R1078" t="inlineStr">
        <is>
          <t xml:space="preserve">BF </t>
        </is>
      </c>
      <c r="S1078" t="n">
        <v>7</v>
      </c>
      <c r="T1078" t="n">
        <v>7</v>
      </c>
      <c r="U1078" t="inlineStr">
        <is>
          <t>2009-04-01</t>
        </is>
      </c>
      <c r="V1078" t="inlineStr">
        <is>
          <t>2009-04-01</t>
        </is>
      </c>
      <c r="W1078" t="inlineStr">
        <is>
          <t>1991-12-09</t>
        </is>
      </c>
      <c r="X1078" t="inlineStr">
        <is>
          <t>1991-12-09</t>
        </is>
      </c>
      <c r="Y1078" t="n">
        <v>948</v>
      </c>
      <c r="Z1078" t="n">
        <v>792</v>
      </c>
      <c r="AA1078" t="n">
        <v>799</v>
      </c>
      <c r="AB1078" t="n">
        <v>4</v>
      </c>
      <c r="AC1078" t="n">
        <v>4</v>
      </c>
      <c r="AD1078" t="n">
        <v>27</v>
      </c>
      <c r="AE1078" t="n">
        <v>27</v>
      </c>
      <c r="AF1078" t="n">
        <v>11</v>
      </c>
      <c r="AG1078" t="n">
        <v>11</v>
      </c>
      <c r="AH1078" t="n">
        <v>6</v>
      </c>
      <c r="AI1078" t="n">
        <v>6</v>
      </c>
      <c r="AJ1078" t="n">
        <v>11</v>
      </c>
      <c r="AK1078" t="n">
        <v>11</v>
      </c>
      <c r="AL1078" t="n">
        <v>3</v>
      </c>
      <c r="AM1078" t="n">
        <v>3</v>
      </c>
      <c r="AN1078" t="n">
        <v>0</v>
      </c>
      <c r="AO1078" t="n">
        <v>0</v>
      </c>
      <c r="AP1078" t="inlineStr">
        <is>
          <t>No</t>
        </is>
      </c>
      <c r="AQ1078" t="inlineStr">
        <is>
          <t>Yes</t>
        </is>
      </c>
      <c r="AR1078">
        <f>HYPERLINK("http://catalog.hathitrust.org/Record/000215942","HathiTrust Record")</f>
        <v/>
      </c>
      <c r="AS1078">
        <f>HYPERLINK("https://creighton-primo.hosted.exlibrisgroup.com/primo-explore/search?tab=default_tab&amp;search_scope=EVERYTHING&amp;vid=01CRU&amp;lang=en_US&amp;offset=0&amp;query=any,contains,991004604859702656","Catalog Record")</f>
        <v/>
      </c>
      <c r="AT1078">
        <f>HYPERLINK("http://www.worldcat.org/oclc/4193895","WorldCat Record")</f>
        <v/>
      </c>
      <c r="AU1078" t="inlineStr">
        <is>
          <t>146690341:eng</t>
        </is>
      </c>
      <c r="AV1078" t="inlineStr">
        <is>
          <t>4193895</t>
        </is>
      </c>
      <c r="AW1078" t="inlineStr">
        <is>
          <t>991004604859702656</t>
        </is>
      </c>
      <c r="AX1078" t="inlineStr">
        <is>
          <t>991004604859702656</t>
        </is>
      </c>
      <c r="AY1078" t="inlineStr">
        <is>
          <t>2263974720002656</t>
        </is>
      </c>
      <c r="AZ1078" t="inlineStr">
        <is>
          <t>BOOK</t>
        </is>
      </c>
      <c r="BB1078" t="inlineStr">
        <is>
          <t>9780839112938</t>
        </is>
      </c>
      <c r="BC1078" t="inlineStr">
        <is>
          <t>32285000838598</t>
        </is>
      </c>
      <c r="BD1078" t="inlineStr">
        <is>
          <t>893593890</t>
        </is>
      </c>
    </row>
    <row r="1079">
      <c r="A1079" t="inlineStr">
        <is>
          <t>No</t>
        </is>
      </c>
      <c r="B1079" t="inlineStr">
        <is>
          <t>BF723.C5 J43</t>
        </is>
      </c>
      <c r="C1079" t="inlineStr">
        <is>
          <t>0                      BF 0723000C  5                  J  43</t>
        </is>
      </c>
      <c r="D1079" t="inlineStr">
        <is>
          <t>Jean Piaget : consensus and controversy / edited by Sohan Modgil and Celia Modgil ; finale incorporating Jean Piaget's contemporary thinking by Bärbel Inhelder.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L1079" t="inlineStr">
        <is>
          <t>New York : Praeger, 1982.</t>
        </is>
      </c>
      <c r="M1079" t="inlineStr">
        <is>
          <t>1982</t>
        </is>
      </c>
      <c r="O1079" t="inlineStr">
        <is>
          <t>eng</t>
        </is>
      </c>
      <c r="P1079" t="inlineStr">
        <is>
          <t>nyu</t>
        </is>
      </c>
      <c r="Q1079" t="inlineStr">
        <is>
          <t>Praeger special studies</t>
        </is>
      </c>
      <c r="R1079" t="inlineStr">
        <is>
          <t xml:space="preserve">BF </t>
        </is>
      </c>
      <c r="S1079" t="n">
        <v>3</v>
      </c>
      <c r="T1079" t="n">
        <v>3</v>
      </c>
      <c r="U1079" t="inlineStr">
        <is>
          <t>2001-07-30</t>
        </is>
      </c>
      <c r="V1079" t="inlineStr">
        <is>
          <t>2001-07-30</t>
        </is>
      </c>
      <c r="W1079" t="inlineStr">
        <is>
          <t>1992-03-31</t>
        </is>
      </c>
      <c r="X1079" t="inlineStr">
        <is>
          <t>1992-03-31</t>
        </is>
      </c>
      <c r="Y1079" t="n">
        <v>504</v>
      </c>
      <c r="Z1079" t="n">
        <v>433</v>
      </c>
      <c r="AA1079" t="n">
        <v>459</v>
      </c>
      <c r="AB1079" t="n">
        <v>1</v>
      </c>
      <c r="AC1079" t="n">
        <v>2</v>
      </c>
      <c r="AD1079" t="n">
        <v>15</v>
      </c>
      <c r="AE1079" t="n">
        <v>16</v>
      </c>
      <c r="AF1079" t="n">
        <v>5</v>
      </c>
      <c r="AG1079" t="n">
        <v>5</v>
      </c>
      <c r="AH1079" t="n">
        <v>5</v>
      </c>
      <c r="AI1079" t="n">
        <v>5</v>
      </c>
      <c r="AJ1079" t="n">
        <v>9</v>
      </c>
      <c r="AK1079" t="n">
        <v>9</v>
      </c>
      <c r="AL1079" t="n">
        <v>0</v>
      </c>
      <c r="AM1079" t="n">
        <v>1</v>
      </c>
      <c r="AN1079" t="n">
        <v>0</v>
      </c>
      <c r="AO1079" t="n">
        <v>0</v>
      </c>
      <c r="AP1079" t="inlineStr">
        <is>
          <t>No</t>
        </is>
      </c>
      <c r="AQ1079" t="inlineStr">
        <is>
          <t>No</t>
        </is>
      </c>
      <c r="AS1079">
        <f>HYPERLINK("https://creighton-primo.hosted.exlibrisgroup.com/primo-explore/search?tab=default_tab&amp;search_scope=EVERYTHING&amp;vid=01CRU&amp;lang=en_US&amp;offset=0&amp;query=any,contains,991000019909702656","Catalog Record")</f>
        <v/>
      </c>
      <c r="AT1079">
        <f>HYPERLINK("http://www.worldcat.org/oclc/10298841","WorldCat Record")</f>
        <v/>
      </c>
      <c r="AU1079" t="inlineStr">
        <is>
          <t>3855299107:eng</t>
        </is>
      </c>
      <c r="AV1079" t="inlineStr">
        <is>
          <t>10298841</t>
        </is>
      </c>
      <c r="AW1079" t="inlineStr">
        <is>
          <t>991000019909702656</t>
        </is>
      </c>
      <c r="AX1079" t="inlineStr">
        <is>
          <t>991000019909702656</t>
        </is>
      </c>
      <c r="AY1079" t="inlineStr">
        <is>
          <t>2257554920002656</t>
        </is>
      </c>
      <c r="AZ1079" t="inlineStr">
        <is>
          <t>BOOK</t>
        </is>
      </c>
      <c r="BB1079" t="inlineStr">
        <is>
          <t>9780030599361</t>
        </is>
      </c>
      <c r="BC1079" t="inlineStr">
        <is>
          <t>32285001032332</t>
        </is>
      </c>
      <c r="BD1079" t="inlineStr">
        <is>
          <t>893595183</t>
        </is>
      </c>
    </row>
    <row r="1080">
      <c r="A1080" t="inlineStr">
        <is>
          <t>No</t>
        </is>
      </c>
      <c r="B1080" t="inlineStr">
        <is>
          <t>BF723.C5 K57</t>
        </is>
      </c>
      <c r="C1080" t="inlineStr">
        <is>
          <t>0                      BF 0723000C  5                  K  57</t>
        </is>
      </c>
      <c r="D1080" t="inlineStr">
        <is>
          <t>Cognitive development of children and youth : a longitudinal study / Herbert J. Klausmeier, Patricia S. Allen.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Klausmeier, Herbert J. (Herbert John), 1915-2014.</t>
        </is>
      </c>
      <c r="L1080" t="inlineStr">
        <is>
          <t>New York : Academic Press, 1978.</t>
        </is>
      </c>
      <c r="M1080" t="inlineStr">
        <is>
          <t>1978</t>
        </is>
      </c>
      <c r="O1080" t="inlineStr">
        <is>
          <t>eng</t>
        </is>
      </c>
      <c r="P1080" t="inlineStr">
        <is>
          <t>nyu</t>
        </is>
      </c>
      <c r="Q1080" t="inlineStr">
        <is>
          <t>Educational psychology</t>
        </is>
      </c>
      <c r="R1080" t="inlineStr">
        <is>
          <t xml:space="preserve">BF </t>
        </is>
      </c>
      <c r="S1080" t="n">
        <v>7</v>
      </c>
      <c r="T1080" t="n">
        <v>7</v>
      </c>
      <c r="U1080" t="inlineStr">
        <is>
          <t>1999-03-17</t>
        </is>
      </c>
      <c r="V1080" t="inlineStr">
        <is>
          <t>1999-03-17</t>
        </is>
      </c>
      <c r="W1080" t="inlineStr">
        <is>
          <t>1993-03-09</t>
        </is>
      </c>
      <c r="X1080" t="inlineStr">
        <is>
          <t>1993-03-09</t>
        </is>
      </c>
      <c r="Y1080" t="n">
        <v>521</v>
      </c>
      <c r="Z1080" t="n">
        <v>345</v>
      </c>
      <c r="AA1080" t="n">
        <v>378</v>
      </c>
      <c r="AB1080" t="n">
        <v>5</v>
      </c>
      <c r="AC1080" t="n">
        <v>5</v>
      </c>
      <c r="AD1080" t="n">
        <v>14</v>
      </c>
      <c r="AE1080" t="n">
        <v>16</v>
      </c>
      <c r="AF1080" t="n">
        <v>4</v>
      </c>
      <c r="AG1080" t="n">
        <v>5</v>
      </c>
      <c r="AH1080" t="n">
        <v>2</v>
      </c>
      <c r="AI1080" t="n">
        <v>3</v>
      </c>
      <c r="AJ1080" t="n">
        <v>7</v>
      </c>
      <c r="AK1080" t="n">
        <v>7</v>
      </c>
      <c r="AL1080" t="n">
        <v>3</v>
      </c>
      <c r="AM1080" t="n">
        <v>3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Yes</t>
        </is>
      </c>
      <c r="AR1080">
        <f>HYPERLINK("http://catalog.hathitrust.org/Record/000762289","HathiTrust Record")</f>
        <v/>
      </c>
      <c r="AS1080">
        <f>HYPERLINK("https://creighton-primo.hosted.exlibrisgroup.com/primo-explore/search?tab=default_tab&amp;search_scope=EVERYTHING&amp;vid=01CRU&amp;lang=en_US&amp;offset=0&amp;query=any,contains,991004595339702656","Catalog Record")</f>
        <v/>
      </c>
      <c r="AT1080">
        <f>HYPERLINK("http://www.worldcat.org/oclc/4136484","WorldCat Record")</f>
        <v/>
      </c>
      <c r="AU1080" t="inlineStr">
        <is>
          <t>365486796:eng</t>
        </is>
      </c>
      <c r="AV1080" t="inlineStr">
        <is>
          <t>4136484</t>
        </is>
      </c>
      <c r="AW1080" t="inlineStr">
        <is>
          <t>991004595339702656</t>
        </is>
      </c>
      <c r="AX1080" t="inlineStr">
        <is>
          <t>991004595339702656</t>
        </is>
      </c>
      <c r="AY1080" t="inlineStr">
        <is>
          <t>2258146390002656</t>
        </is>
      </c>
      <c r="AZ1080" t="inlineStr">
        <is>
          <t>BOOK</t>
        </is>
      </c>
      <c r="BB1080" t="inlineStr">
        <is>
          <t>9780124113558</t>
        </is>
      </c>
      <c r="BC1080" t="inlineStr">
        <is>
          <t>32285001570851</t>
        </is>
      </c>
      <c r="BD1080" t="inlineStr">
        <is>
          <t>893259910</t>
        </is>
      </c>
    </row>
    <row r="1081">
      <c r="A1081" t="inlineStr">
        <is>
          <t>No</t>
        </is>
      </c>
      <c r="B1081" t="inlineStr">
        <is>
          <t>BF723.C5 K58</t>
        </is>
      </c>
      <c r="C1081" t="inlineStr">
        <is>
          <t>0                      BF 0723000C  5                  K  58</t>
        </is>
      </c>
      <c r="D1081" t="inlineStr">
        <is>
          <t>Cognitive learning and development : information-processing and Piagetian perspectives / Herbert J. Klausmeier and associates.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Klausmeier, Herbert J. (Herbert John), 1915-2014.</t>
        </is>
      </c>
      <c r="L1081" t="inlineStr">
        <is>
          <t>Cambridge, Mass. : Ballinger Pub. Co., c1979.</t>
        </is>
      </c>
      <c r="M1081" t="inlineStr">
        <is>
          <t>1979</t>
        </is>
      </c>
      <c r="O1081" t="inlineStr">
        <is>
          <t>eng</t>
        </is>
      </c>
      <c r="P1081" t="inlineStr">
        <is>
          <t>mau</t>
        </is>
      </c>
      <c r="R1081" t="inlineStr">
        <is>
          <t xml:space="preserve">BF </t>
        </is>
      </c>
      <c r="S1081" t="n">
        <v>4</v>
      </c>
      <c r="T1081" t="n">
        <v>4</v>
      </c>
      <c r="U1081" t="inlineStr">
        <is>
          <t>1998-03-24</t>
        </is>
      </c>
      <c r="V1081" t="inlineStr">
        <is>
          <t>1998-03-24</t>
        </is>
      </c>
      <c r="W1081" t="inlineStr">
        <is>
          <t>1993-04-07</t>
        </is>
      </c>
      <c r="X1081" t="inlineStr">
        <is>
          <t>1993-04-07</t>
        </is>
      </c>
      <c r="Y1081" t="n">
        <v>397</v>
      </c>
      <c r="Z1081" t="n">
        <v>291</v>
      </c>
      <c r="AA1081" t="n">
        <v>293</v>
      </c>
      <c r="AB1081" t="n">
        <v>2</v>
      </c>
      <c r="AC1081" t="n">
        <v>2</v>
      </c>
      <c r="AD1081" t="n">
        <v>9</v>
      </c>
      <c r="AE1081" t="n">
        <v>9</v>
      </c>
      <c r="AF1081" t="n">
        <v>3</v>
      </c>
      <c r="AG1081" t="n">
        <v>3</v>
      </c>
      <c r="AH1081" t="n">
        <v>2</v>
      </c>
      <c r="AI1081" t="n">
        <v>2</v>
      </c>
      <c r="AJ1081" t="n">
        <v>6</v>
      </c>
      <c r="AK1081" t="n">
        <v>6</v>
      </c>
      <c r="AL1081" t="n">
        <v>1</v>
      </c>
      <c r="AM1081" t="n">
        <v>1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HYPERLINK("http://catalog.hathitrust.org/Record/000683799","HathiTrust Record")</f>
        <v/>
      </c>
      <c r="AS1081">
        <f>HYPERLINK("https://creighton-primo.hosted.exlibrisgroup.com/primo-explore/search?tab=default_tab&amp;search_scope=EVERYTHING&amp;vid=01CRU&amp;lang=en_US&amp;offset=0&amp;query=any,contains,991004714899702656","Catalog Record")</f>
        <v/>
      </c>
      <c r="AT1081">
        <f>HYPERLINK("http://www.worldcat.org/oclc/4775662","WorldCat Record")</f>
        <v/>
      </c>
      <c r="AU1081" t="inlineStr">
        <is>
          <t>3740820292:eng</t>
        </is>
      </c>
      <c r="AV1081" t="inlineStr">
        <is>
          <t>4775662</t>
        </is>
      </c>
      <c r="AW1081" t="inlineStr">
        <is>
          <t>991004714899702656</t>
        </is>
      </c>
      <c r="AX1081" t="inlineStr">
        <is>
          <t>991004714899702656</t>
        </is>
      </c>
      <c r="AY1081" t="inlineStr">
        <is>
          <t>2255447490002656</t>
        </is>
      </c>
      <c r="AZ1081" t="inlineStr">
        <is>
          <t>BOOK</t>
        </is>
      </c>
      <c r="BB1081" t="inlineStr">
        <is>
          <t>9780884101888</t>
        </is>
      </c>
      <c r="BC1081" t="inlineStr">
        <is>
          <t>32285001604312</t>
        </is>
      </c>
      <c r="BD1081" t="inlineStr">
        <is>
          <t>893350310</t>
        </is>
      </c>
    </row>
    <row r="1082">
      <c r="A1082" t="inlineStr">
        <is>
          <t>No</t>
        </is>
      </c>
      <c r="B1082" t="inlineStr">
        <is>
          <t>BF723.C5 K64</t>
        </is>
      </c>
      <c r="C1082" t="inlineStr">
        <is>
          <t>0                      BF 0723000C  5                  K  64</t>
        </is>
      </c>
      <c r="D1082" t="inlineStr">
        <is>
          <t>Cognitive styles in infancy and early childhood / Nathan Kogan.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Kogan, Nathan.</t>
        </is>
      </c>
      <c r="L1082" t="inlineStr">
        <is>
          <t>Hillsdale, N.J. : L. Erlbaum Associates ; New York : distributed by Halsted Press Division of Wiley, 1976.</t>
        </is>
      </c>
      <c r="M1082" t="inlineStr">
        <is>
          <t>1976</t>
        </is>
      </c>
      <c r="O1082" t="inlineStr">
        <is>
          <t>eng</t>
        </is>
      </c>
      <c r="P1082" t="inlineStr">
        <is>
          <t>nju</t>
        </is>
      </c>
      <c r="R1082" t="inlineStr">
        <is>
          <t xml:space="preserve">BF </t>
        </is>
      </c>
      <c r="S1082" t="n">
        <v>1</v>
      </c>
      <c r="T1082" t="n">
        <v>1</v>
      </c>
      <c r="U1082" t="inlineStr">
        <is>
          <t>2000-10-11</t>
        </is>
      </c>
      <c r="V1082" t="inlineStr">
        <is>
          <t>2000-10-11</t>
        </is>
      </c>
      <c r="W1082" t="inlineStr">
        <is>
          <t>1996-08-06</t>
        </is>
      </c>
      <c r="X1082" t="inlineStr">
        <is>
          <t>1996-08-06</t>
        </is>
      </c>
      <c r="Y1082" t="n">
        <v>656</v>
      </c>
      <c r="Z1082" t="n">
        <v>499</v>
      </c>
      <c r="AA1082" t="n">
        <v>532</v>
      </c>
      <c r="AB1082" t="n">
        <v>4</v>
      </c>
      <c r="AC1082" t="n">
        <v>4</v>
      </c>
      <c r="AD1082" t="n">
        <v>21</v>
      </c>
      <c r="AE1082" t="n">
        <v>21</v>
      </c>
      <c r="AF1082" t="n">
        <v>8</v>
      </c>
      <c r="AG1082" t="n">
        <v>8</v>
      </c>
      <c r="AH1082" t="n">
        <v>5</v>
      </c>
      <c r="AI1082" t="n">
        <v>5</v>
      </c>
      <c r="AJ1082" t="n">
        <v>13</v>
      </c>
      <c r="AK1082" t="n">
        <v>13</v>
      </c>
      <c r="AL1082" t="n">
        <v>3</v>
      </c>
      <c r="AM1082" t="n">
        <v>3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Yes</t>
        </is>
      </c>
      <c r="AR1082">
        <f>HYPERLINK("http://catalog.hathitrust.org/Record/000729792","HathiTrust Record")</f>
        <v/>
      </c>
      <c r="AS1082">
        <f>HYPERLINK("https://creighton-primo.hosted.exlibrisgroup.com/primo-explore/search?tab=default_tab&amp;search_scope=EVERYTHING&amp;vid=01CRU&amp;lang=en_US&amp;offset=0&amp;query=any,contains,991004076529702656","Catalog Record")</f>
        <v/>
      </c>
      <c r="AT1082">
        <f>HYPERLINK("http://www.worldcat.org/oclc/2318188","WorldCat Record")</f>
        <v/>
      </c>
      <c r="AU1082" t="inlineStr">
        <is>
          <t>4650530:eng</t>
        </is>
      </c>
      <c r="AV1082" t="inlineStr">
        <is>
          <t>2318188</t>
        </is>
      </c>
      <c r="AW1082" t="inlineStr">
        <is>
          <t>991004076529702656</t>
        </is>
      </c>
      <c r="AX1082" t="inlineStr">
        <is>
          <t>991004076529702656</t>
        </is>
      </c>
      <c r="AY1082" t="inlineStr">
        <is>
          <t>2263924470002656</t>
        </is>
      </c>
      <c r="AZ1082" t="inlineStr">
        <is>
          <t>BOOK</t>
        </is>
      </c>
      <c r="BB1082" t="inlineStr">
        <is>
          <t>9780470151495</t>
        </is>
      </c>
      <c r="BC1082" t="inlineStr">
        <is>
          <t>32285002256112</t>
        </is>
      </c>
      <c r="BD1082" t="inlineStr">
        <is>
          <t>893525629</t>
        </is>
      </c>
    </row>
    <row r="1083">
      <c r="A1083" t="inlineStr">
        <is>
          <t>No</t>
        </is>
      </c>
      <c r="B1083" t="inlineStr">
        <is>
          <t>BF723.C5 M383 1993</t>
        </is>
      </c>
      <c r="C1083" t="inlineStr">
        <is>
          <t>0                      BF 0723000C  5                  M  383         1993</t>
        </is>
      </c>
      <c r="D1083" t="inlineStr">
        <is>
          <t>The child as thinker : the development and acquisition of cognition in childhood / Sara Meadows.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K1083" t="inlineStr">
        <is>
          <t>Meadows, Sara.</t>
        </is>
      </c>
      <c r="L1083" t="inlineStr">
        <is>
          <t>London ; New York : Routledge, 1993.</t>
        </is>
      </c>
      <c r="M1083" t="inlineStr">
        <is>
          <t>1993</t>
        </is>
      </c>
      <c r="O1083" t="inlineStr">
        <is>
          <t>eng</t>
        </is>
      </c>
      <c r="P1083" t="inlineStr">
        <is>
          <t>enk</t>
        </is>
      </c>
      <c r="R1083" t="inlineStr">
        <is>
          <t xml:space="preserve">BF </t>
        </is>
      </c>
      <c r="S1083" t="n">
        <v>7</v>
      </c>
      <c r="T1083" t="n">
        <v>7</v>
      </c>
      <c r="U1083" t="inlineStr">
        <is>
          <t>1999-02-02</t>
        </is>
      </c>
      <c r="V1083" t="inlineStr">
        <is>
          <t>1999-02-02</t>
        </is>
      </c>
      <c r="W1083" t="inlineStr">
        <is>
          <t>1995-12-27</t>
        </is>
      </c>
      <c r="X1083" t="inlineStr">
        <is>
          <t>1995-12-27</t>
        </is>
      </c>
      <c r="Y1083" t="n">
        <v>490</v>
      </c>
      <c r="Z1083" t="n">
        <v>244</v>
      </c>
      <c r="AA1083" t="n">
        <v>694</v>
      </c>
      <c r="AB1083" t="n">
        <v>3</v>
      </c>
      <c r="AC1083" t="n">
        <v>5</v>
      </c>
      <c r="AD1083" t="n">
        <v>12</v>
      </c>
      <c r="AE1083" t="n">
        <v>20</v>
      </c>
      <c r="AF1083" t="n">
        <v>6</v>
      </c>
      <c r="AG1083" t="n">
        <v>10</v>
      </c>
      <c r="AH1083" t="n">
        <v>1</v>
      </c>
      <c r="AI1083" t="n">
        <v>2</v>
      </c>
      <c r="AJ1083" t="n">
        <v>7</v>
      </c>
      <c r="AK1083" t="n">
        <v>9</v>
      </c>
      <c r="AL1083" t="n">
        <v>2</v>
      </c>
      <c r="AM1083" t="n">
        <v>4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No</t>
        </is>
      </c>
      <c r="AS1083">
        <f>HYPERLINK("https://creighton-primo.hosted.exlibrisgroup.com/primo-explore/search?tab=default_tab&amp;search_scope=EVERYTHING&amp;vid=01CRU&amp;lang=en_US&amp;offset=0&amp;query=any,contains,991002108019702656","Catalog Record")</f>
        <v/>
      </c>
      <c r="AT1083">
        <f>HYPERLINK("http://www.worldcat.org/oclc/27034439","WorldCat Record")</f>
        <v/>
      </c>
      <c r="AU1083" t="inlineStr">
        <is>
          <t>337207:eng</t>
        </is>
      </c>
      <c r="AV1083" t="inlineStr">
        <is>
          <t>27034439</t>
        </is>
      </c>
      <c r="AW1083" t="inlineStr">
        <is>
          <t>991002108019702656</t>
        </is>
      </c>
      <c r="AX1083" t="inlineStr">
        <is>
          <t>991002108019702656</t>
        </is>
      </c>
      <c r="AY1083" t="inlineStr">
        <is>
          <t>2267155400002656</t>
        </is>
      </c>
      <c r="AZ1083" t="inlineStr">
        <is>
          <t>BOOK</t>
        </is>
      </c>
      <c r="BB1083" t="inlineStr">
        <is>
          <t>9780415011426</t>
        </is>
      </c>
      <c r="BC1083" t="inlineStr">
        <is>
          <t>32285002113396</t>
        </is>
      </c>
      <c r="BD1083" t="inlineStr">
        <is>
          <t>893516901</t>
        </is>
      </c>
    </row>
    <row r="1084">
      <c r="A1084" t="inlineStr">
        <is>
          <t>No</t>
        </is>
      </c>
      <c r="B1084" t="inlineStr">
        <is>
          <t>BF723.C5 N45 1985</t>
        </is>
      </c>
      <c r="C1084" t="inlineStr">
        <is>
          <t>0                      BF 0723000C  5                  N  45          1985</t>
        </is>
      </c>
      <c r="D1084" t="inlineStr">
        <is>
          <t>Neonate cognition : beyond the blooming buzzing confusion / edited by Jacques Mehler and Robin Fox.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L1084" t="inlineStr">
        <is>
          <t>Hillsdale, N.J. : L. Erlbaum Associates, 1985.</t>
        </is>
      </c>
      <c r="M1084" t="inlineStr">
        <is>
          <t>1984</t>
        </is>
      </c>
      <c r="O1084" t="inlineStr">
        <is>
          <t>eng</t>
        </is>
      </c>
      <c r="P1084" t="inlineStr">
        <is>
          <t>nju</t>
        </is>
      </c>
      <c r="R1084" t="inlineStr">
        <is>
          <t xml:space="preserve">BF </t>
        </is>
      </c>
      <c r="S1084" t="n">
        <v>2</v>
      </c>
      <c r="T1084" t="n">
        <v>2</v>
      </c>
      <c r="U1084" t="inlineStr">
        <is>
          <t>1993-09-08</t>
        </is>
      </c>
      <c r="V1084" t="inlineStr">
        <is>
          <t>1993-09-08</t>
        </is>
      </c>
      <c r="W1084" t="inlineStr">
        <is>
          <t>1993-04-07</t>
        </is>
      </c>
      <c r="X1084" t="inlineStr">
        <is>
          <t>1993-04-07</t>
        </is>
      </c>
      <c r="Y1084" t="n">
        <v>457</v>
      </c>
      <c r="Z1084" t="n">
        <v>373</v>
      </c>
      <c r="AA1084" t="n">
        <v>390</v>
      </c>
      <c r="AB1084" t="n">
        <v>4</v>
      </c>
      <c r="AC1084" t="n">
        <v>4</v>
      </c>
      <c r="AD1084" t="n">
        <v>17</v>
      </c>
      <c r="AE1084" t="n">
        <v>17</v>
      </c>
      <c r="AF1084" t="n">
        <v>6</v>
      </c>
      <c r="AG1084" t="n">
        <v>6</v>
      </c>
      <c r="AH1084" t="n">
        <v>4</v>
      </c>
      <c r="AI1084" t="n">
        <v>4</v>
      </c>
      <c r="AJ1084" t="n">
        <v>8</v>
      </c>
      <c r="AK1084" t="n">
        <v>8</v>
      </c>
      <c r="AL1084" t="n">
        <v>3</v>
      </c>
      <c r="AM1084" t="n">
        <v>3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HYPERLINK("http://catalog.hathitrust.org/Record/000340475","HathiTrust Record")</f>
        <v/>
      </c>
      <c r="AS1084">
        <f>HYPERLINK("https://creighton-primo.hosted.exlibrisgroup.com/primo-explore/search?tab=default_tab&amp;search_scope=EVERYTHING&amp;vid=01CRU&amp;lang=en_US&amp;offset=0&amp;query=any,contains,991000488489702656","Catalog Record")</f>
        <v/>
      </c>
      <c r="AT1084">
        <f>HYPERLINK("http://www.worldcat.org/oclc/11090671","WorldCat Record")</f>
        <v/>
      </c>
      <c r="AU1084" t="inlineStr">
        <is>
          <t>865296940:eng</t>
        </is>
      </c>
      <c r="AV1084" t="inlineStr">
        <is>
          <t>11090671</t>
        </is>
      </c>
      <c r="AW1084" t="inlineStr">
        <is>
          <t>991000488489702656</t>
        </is>
      </c>
      <c r="AX1084" t="inlineStr">
        <is>
          <t>991000488489702656</t>
        </is>
      </c>
      <c r="AY1084" t="inlineStr">
        <is>
          <t>2268836930002656</t>
        </is>
      </c>
      <c r="AZ1084" t="inlineStr">
        <is>
          <t>BOOK</t>
        </is>
      </c>
      <c r="BB1084" t="inlineStr">
        <is>
          <t>9780898593457</t>
        </is>
      </c>
      <c r="BC1084" t="inlineStr">
        <is>
          <t>32285001604353</t>
        </is>
      </c>
      <c r="BD1084" t="inlineStr">
        <is>
          <t>893796691</t>
        </is>
      </c>
    </row>
    <row r="1085">
      <c r="A1085" t="inlineStr">
        <is>
          <t>No</t>
        </is>
      </c>
      <c r="B1085" t="inlineStr">
        <is>
          <t>BF723.C5 N48 1983</t>
        </is>
      </c>
      <c r="C1085" t="inlineStr">
        <is>
          <t>0                      BF 0723000C  5                  N  48          1983</t>
        </is>
      </c>
      <c r="D1085" t="inlineStr">
        <is>
          <t>New trends in conceptual representation : challenges to Piaget's theory? / edited by Ellin Kofsky Scholnick.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L1085" t="inlineStr">
        <is>
          <t>Hillsdale, N.J. : L. Erlbaum Associates, 1983.</t>
        </is>
      </c>
      <c r="M1085" t="inlineStr">
        <is>
          <t>1983</t>
        </is>
      </c>
      <c r="O1085" t="inlineStr">
        <is>
          <t>eng</t>
        </is>
      </c>
      <c r="P1085" t="inlineStr">
        <is>
          <t>nju</t>
        </is>
      </c>
      <c r="Q1085" t="inlineStr">
        <is>
          <t>The Jean Piaget symposium series</t>
        </is>
      </c>
      <c r="R1085" t="inlineStr">
        <is>
          <t xml:space="preserve">BF </t>
        </is>
      </c>
      <c r="S1085" t="n">
        <v>2</v>
      </c>
      <c r="T1085" t="n">
        <v>2</v>
      </c>
      <c r="U1085" t="inlineStr">
        <is>
          <t>1996-11-03</t>
        </is>
      </c>
      <c r="V1085" t="inlineStr">
        <is>
          <t>1996-11-03</t>
        </is>
      </c>
      <c r="W1085" t="inlineStr">
        <is>
          <t>1993-04-07</t>
        </is>
      </c>
      <c r="X1085" t="inlineStr">
        <is>
          <t>1993-04-07</t>
        </is>
      </c>
      <c r="Y1085" t="n">
        <v>546</v>
      </c>
      <c r="Z1085" t="n">
        <v>453</v>
      </c>
      <c r="AA1085" t="n">
        <v>481</v>
      </c>
      <c r="AB1085" t="n">
        <v>5</v>
      </c>
      <c r="AC1085" t="n">
        <v>5</v>
      </c>
      <c r="AD1085" t="n">
        <v>23</v>
      </c>
      <c r="AE1085" t="n">
        <v>23</v>
      </c>
      <c r="AF1085" t="n">
        <v>9</v>
      </c>
      <c r="AG1085" t="n">
        <v>9</v>
      </c>
      <c r="AH1085" t="n">
        <v>4</v>
      </c>
      <c r="AI1085" t="n">
        <v>4</v>
      </c>
      <c r="AJ1085" t="n">
        <v>11</v>
      </c>
      <c r="AK1085" t="n">
        <v>11</v>
      </c>
      <c r="AL1085" t="n">
        <v>4</v>
      </c>
      <c r="AM1085" t="n">
        <v>4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S1085">
        <f>HYPERLINK("https://creighton-primo.hosted.exlibrisgroup.com/primo-explore/search?tab=default_tab&amp;search_scope=EVERYTHING&amp;vid=01CRU&amp;lang=en_US&amp;offset=0&amp;query=any,contains,991000147989702656","Catalog Record")</f>
        <v/>
      </c>
      <c r="AT1085">
        <f>HYPERLINK("http://www.worldcat.org/oclc/9196971","WorldCat Record")</f>
        <v/>
      </c>
      <c r="AU1085" t="inlineStr">
        <is>
          <t>807525904:eng</t>
        </is>
      </c>
      <c r="AV1085" t="inlineStr">
        <is>
          <t>9196971</t>
        </is>
      </c>
      <c r="AW1085" t="inlineStr">
        <is>
          <t>991000147989702656</t>
        </is>
      </c>
      <c r="AX1085" t="inlineStr">
        <is>
          <t>991000147989702656</t>
        </is>
      </c>
      <c r="AY1085" t="inlineStr">
        <is>
          <t>2268393440002656</t>
        </is>
      </c>
      <c r="AZ1085" t="inlineStr">
        <is>
          <t>BOOK</t>
        </is>
      </c>
      <c r="BB1085" t="inlineStr">
        <is>
          <t>9780898592603</t>
        </is>
      </c>
      <c r="BC1085" t="inlineStr">
        <is>
          <t>32285001604361</t>
        </is>
      </c>
      <c r="BD1085" t="inlineStr">
        <is>
          <t>893689468</t>
        </is>
      </c>
    </row>
    <row r="1086">
      <c r="A1086" t="inlineStr">
        <is>
          <t>No</t>
        </is>
      </c>
      <c r="B1086" t="inlineStr">
        <is>
          <t>BF723.C5 P52613</t>
        </is>
      </c>
      <c r="C1086" t="inlineStr">
        <is>
          <t>0                      BF 0723000C  5                  P  52613</t>
        </is>
      </c>
      <c r="D1086" t="inlineStr">
        <is>
          <t>The grasp of consciousness : action and concept in the young child / Jean Piaget ; translated by Susan Wedgwood.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Piaget, Jean, 1896-1980.</t>
        </is>
      </c>
      <c r="L1086" t="inlineStr">
        <is>
          <t>Cambridge : Harvard University Press, 1976.</t>
        </is>
      </c>
      <c r="M1086" t="inlineStr">
        <is>
          <t>1976</t>
        </is>
      </c>
      <c r="O1086" t="inlineStr">
        <is>
          <t>eng</t>
        </is>
      </c>
      <c r="P1086" t="inlineStr">
        <is>
          <t>mau</t>
        </is>
      </c>
      <c r="R1086" t="inlineStr">
        <is>
          <t xml:space="preserve">BF </t>
        </is>
      </c>
      <c r="S1086" t="n">
        <v>1</v>
      </c>
      <c r="T1086" t="n">
        <v>1</v>
      </c>
      <c r="U1086" t="inlineStr">
        <is>
          <t>2000-10-11</t>
        </is>
      </c>
      <c r="V1086" t="inlineStr">
        <is>
          <t>2000-10-11</t>
        </is>
      </c>
      <c r="W1086" t="inlineStr">
        <is>
          <t>1996-08-06</t>
        </is>
      </c>
      <c r="X1086" t="inlineStr">
        <is>
          <t>1996-08-06</t>
        </is>
      </c>
      <c r="Y1086" t="n">
        <v>1583</v>
      </c>
      <c r="Z1086" t="n">
        <v>1435</v>
      </c>
      <c r="AA1086" t="n">
        <v>1471</v>
      </c>
      <c r="AB1086" t="n">
        <v>12</v>
      </c>
      <c r="AC1086" t="n">
        <v>12</v>
      </c>
      <c r="AD1086" t="n">
        <v>51</v>
      </c>
      <c r="AE1086" t="n">
        <v>51</v>
      </c>
      <c r="AF1086" t="n">
        <v>21</v>
      </c>
      <c r="AG1086" t="n">
        <v>21</v>
      </c>
      <c r="AH1086" t="n">
        <v>10</v>
      </c>
      <c r="AI1086" t="n">
        <v>10</v>
      </c>
      <c r="AJ1086" t="n">
        <v>21</v>
      </c>
      <c r="AK1086" t="n">
        <v>21</v>
      </c>
      <c r="AL1086" t="n">
        <v>10</v>
      </c>
      <c r="AM1086" t="n">
        <v>10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Yes</t>
        </is>
      </c>
      <c r="AR1086">
        <f>HYPERLINK("http://catalog.hathitrust.org/Record/000716337","HathiTrust Record")</f>
        <v/>
      </c>
      <c r="AS1086">
        <f>HYPERLINK("https://creighton-primo.hosted.exlibrisgroup.com/primo-explore/search?tab=default_tab&amp;search_scope=EVERYTHING&amp;vid=01CRU&amp;lang=en_US&amp;offset=0&amp;query=any,contains,991003959919702656","Catalog Record")</f>
        <v/>
      </c>
      <c r="AT1086">
        <f>HYPERLINK("http://www.worldcat.org/oclc/1974250","WorldCat Record")</f>
        <v/>
      </c>
      <c r="AU1086" t="inlineStr">
        <is>
          <t>1089559722:eng</t>
        </is>
      </c>
      <c r="AV1086" t="inlineStr">
        <is>
          <t>1974250</t>
        </is>
      </c>
      <c r="AW1086" t="inlineStr">
        <is>
          <t>991003959919702656</t>
        </is>
      </c>
      <c r="AX1086" t="inlineStr">
        <is>
          <t>991003959919702656</t>
        </is>
      </c>
      <c r="AY1086" t="inlineStr">
        <is>
          <t>2265581210002656</t>
        </is>
      </c>
      <c r="AZ1086" t="inlineStr">
        <is>
          <t>BOOK</t>
        </is>
      </c>
      <c r="BB1086" t="inlineStr">
        <is>
          <t>9780674360334</t>
        </is>
      </c>
      <c r="BC1086" t="inlineStr">
        <is>
          <t>32285002256138</t>
        </is>
      </c>
      <c r="BD1086" t="inlineStr">
        <is>
          <t>893417049</t>
        </is>
      </c>
    </row>
    <row r="1087">
      <c r="A1087" t="inlineStr">
        <is>
          <t>No</t>
        </is>
      </c>
      <c r="B1087" t="inlineStr">
        <is>
          <t>BF723.C5 P85 1971</t>
        </is>
      </c>
      <c r="C1087" t="inlineStr">
        <is>
          <t>0                      BF 0723000C  5                  P  85          1971</t>
        </is>
      </c>
      <c r="D1087" t="inlineStr">
        <is>
          <t>Understanding Piaget : an introduction to children's cognitive development / Mary Ann Spencer Pulaski.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K1087" t="inlineStr">
        <is>
          <t>Pulaski, Mary Ann Spencer.</t>
        </is>
      </c>
      <c r="L1087" t="inlineStr">
        <is>
          <t>New York : Harper &amp; Row, [1971]</t>
        </is>
      </c>
      <c r="M1087" t="inlineStr">
        <is>
          <t>1971</t>
        </is>
      </c>
      <c r="N1087" t="inlineStr">
        <is>
          <t>[1st ed.]</t>
        </is>
      </c>
      <c r="O1087" t="inlineStr">
        <is>
          <t>eng</t>
        </is>
      </c>
      <c r="P1087" t="inlineStr">
        <is>
          <t>nyu</t>
        </is>
      </c>
      <c r="R1087" t="inlineStr">
        <is>
          <t xml:space="preserve">BF </t>
        </is>
      </c>
      <c r="S1087" t="n">
        <v>7</v>
      </c>
      <c r="T1087" t="n">
        <v>7</v>
      </c>
      <c r="U1087" t="inlineStr">
        <is>
          <t>2009-04-01</t>
        </is>
      </c>
      <c r="V1087" t="inlineStr">
        <is>
          <t>2009-04-01</t>
        </is>
      </c>
      <c r="W1087" t="inlineStr">
        <is>
          <t>1991-05-22</t>
        </is>
      </c>
      <c r="X1087" t="inlineStr">
        <is>
          <t>1991-05-22</t>
        </is>
      </c>
      <c r="Y1087" t="n">
        <v>1175</v>
      </c>
      <c r="Z1087" t="n">
        <v>1045</v>
      </c>
      <c r="AA1087" t="n">
        <v>1702</v>
      </c>
      <c r="AB1087" t="n">
        <v>10</v>
      </c>
      <c r="AC1087" t="n">
        <v>15</v>
      </c>
      <c r="AD1087" t="n">
        <v>30</v>
      </c>
      <c r="AE1087" t="n">
        <v>47</v>
      </c>
      <c r="AF1087" t="n">
        <v>15</v>
      </c>
      <c r="AG1087" t="n">
        <v>22</v>
      </c>
      <c r="AH1087" t="n">
        <v>5</v>
      </c>
      <c r="AI1087" t="n">
        <v>8</v>
      </c>
      <c r="AJ1087" t="n">
        <v>9</v>
      </c>
      <c r="AK1087" t="n">
        <v>17</v>
      </c>
      <c r="AL1087" t="n">
        <v>6</v>
      </c>
      <c r="AM1087" t="n">
        <v>9</v>
      </c>
      <c r="AN1087" t="n">
        <v>0</v>
      </c>
      <c r="AO1087" t="n">
        <v>0</v>
      </c>
      <c r="AP1087" t="inlineStr">
        <is>
          <t>No</t>
        </is>
      </c>
      <c r="AQ1087" t="inlineStr">
        <is>
          <t>Yes</t>
        </is>
      </c>
      <c r="AR1087">
        <f>HYPERLINK("http://catalog.hathitrust.org/Record/000431461","HathiTrust Record")</f>
        <v/>
      </c>
      <c r="AS1087">
        <f>HYPERLINK("https://creighton-primo.hosted.exlibrisgroup.com/primo-explore/search?tab=default_tab&amp;search_scope=EVERYTHING&amp;vid=01CRU&amp;lang=en_US&amp;offset=0&amp;query=any,contains,991001161299702656","Catalog Record")</f>
        <v/>
      </c>
      <c r="AT1087">
        <f>HYPERLINK("http://www.worldcat.org/oclc/186417","WorldCat Record")</f>
        <v/>
      </c>
      <c r="AU1087" t="inlineStr">
        <is>
          <t>402472:eng</t>
        </is>
      </c>
      <c r="AV1087" t="inlineStr">
        <is>
          <t>186417</t>
        </is>
      </c>
      <c r="AW1087" t="inlineStr">
        <is>
          <t>991001161299702656</t>
        </is>
      </c>
      <c r="AX1087" t="inlineStr">
        <is>
          <t>991001161299702656</t>
        </is>
      </c>
      <c r="AY1087" t="inlineStr">
        <is>
          <t>2269449320002656</t>
        </is>
      </c>
      <c r="AZ1087" t="inlineStr">
        <is>
          <t>BOOK</t>
        </is>
      </c>
      <c r="BB1087" t="inlineStr">
        <is>
          <t>9780060134396</t>
        </is>
      </c>
      <c r="BC1087" t="inlineStr">
        <is>
          <t>32285000598283</t>
        </is>
      </c>
      <c r="BD1087" t="inlineStr">
        <is>
          <t>893503148</t>
        </is>
      </c>
    </row>
    <row r="1088">
      <c r="A1088" t="inlineStr">
        <is>
          <t>No</t>
        </is>
      </c>
      <c r="B1088" t="inlineStr">
        <is>
          <t>BF723.C5 S54 1986</t>
        </is>
      </c>
      <c r="C1088" t="inlineStr">
        <is>
          <t>0                      BF 0723000C  5                  S  54          1986</t>
        </is>
      </c>
      <c r="D1088" t="inlineStr">
        <is>
          <t>Children's thinking / Robert S. Siegler.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K1088" t="inlineStr">
        <is>
          <t>Siegler, Robert S.</t>
        </is>
      </c>
      <c r="L1088" t="inlineStr">
        <is>
          <t>Englewood Cliffs, N.J. : Prentice-Hall, c1986.</t>
        </is>
      </c>
      <c r="M1088" t="inlineStr">
        <is>
          <t>1986</t>
        </is>
      </c>
      <c r="O1088" t="inlineStr">
        <is>
          <t>eng</t>
        </is>
      </c>
      <c r="P1088" t="inlineStr">
        <is>
          <t>nju</t>
        </is>
      </c>
      <c r="R1088" t="inlineStr">
        <is>
          <t xml:space="preserve">BF </t>
        </is>
      </c>
      <c r="S1088" t="n">
        <v>14</v>
      </c>
      <c r="T1088" t="n">
        <v>14</v>
      </c>
      <c r="U1088" t="inlineStr">
        <is>
          <t>2010-10-25</t>
        </is>
      </c>
      <c r="V1088" t="inlineStr">
        <is>
          <t>2010-10-25</t>
        </is>
      </c>
      <c r="W1088" t="inlineStr">
        <is>
          <t>1993-04-07</t>
        </is>
      </c>
      <c r="X1088" t="inlineStr">
        <is>
          <t>1993-04-07</t>
        </is>
      </c>
      <c r="Y1088" t="n">
        <v>708</v>
      </c>
      <c r="Z1088" t="n">
        <v>596</v>
      </c>
      <c r="AA1088" t="n">
        <v>1055</v>
      </c>
      <c r="AB1088" t="n">
        <v>5</v>
      </c>
      <c r="AC1088" t="n">
        <v>8</v>
      </c>
      <c r="AD1088" t="n">
        <v>24</v>
      </c>
      <c r="AE1088" t="n">
        <v>46</v>
      </c>
      <c r="AF1088" t="n">
        <v>10</v>
      </c>
      <c r="AG1088" t="n">
        <v>23</v>
      </c>
      <c r="AH1088" t="n">
        <v>6</v>
      </c>
      <c r="AI1088" t="n">
        <v>10</v>
      </c>
      <c r="AJ1088" t="n">
        <v>9</v>
      </c>
      <c r="AK1088" t="n">
        <v>18</v>
      </c>
      <c r="AL1088" t="n">
        <v>4</v>
      </c>
      <c r="AM1088" t="n">
        <v>6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HYPERLINK("http://catalog.hathitrust.org/Record/000478820","HathiTrust Record")</f>
        <v/>
      </c>
      <c r="AS1088">
        <f>HYPERLINK("https://creighton-primo.hosted.exlibrisgroup.com/primo-explore/search?tab=default_tab&amp;search_scope=EVERYTHING&amp;vid=01CRU&amp;lang=en_US&amp;offset=0&amp;query=any,contains,991000703749702656","Catalog Record")</f>
        <v/>
      </c>
      <c r="AT1088">
        <f>HYPERLINK("http://www.worldcat.org/oclc/12554344","WorldCat Record")</f>
        <v/>
      </c>
      <c r="AU1088" t="inlineStr">
        <is>
          <t>593100:eng</t>
        </is>
      </c>
      <c r="AV1088" t="inlineStr">
        <is>
          <t>12554344</t>
        </is>
      </c>
      <c r="AW1088" t="inlineStr">
        <is>
          <t>991000703749702656</t>
        </is>
      </c>
      <c r="AX1088" t="inlineStr">
        <is>
          <t>991000703749702656</t>
        </is>
      </c>
      <c r="AY1088" t="inlineStr">
        <is>
          <t>2259756650002656</t>
        </is>
      </c>
      <c r="AZ1088" t="inlineStr">
        <is>
          <t>BOOK</t>
        </is>
      </c>
      <c r="BB1088" t="inlineStr">
        <is>
          <t>9780131326224</t>
        </is>
      </c>
      <c r="BC1088" t="inlineStr">
        <is>
          <t>32285001604395</t>
        </is>
      </c>
      <c r="BD1088" t="inlineStr">
        <is>
          <t>893884668</t>
        </is>
      </c>
    </row>
    <row r="1089">
      <c r="A1089" t="inlineStr">
        <is>
          <t>No</t>
        </is>
      </c>
      <c r="B1089" t="inlineStr">
        <is>
          <t>BF723.C5 S56</t>
        </is>
      </c>
      <c r="C1089" t="inlineStr">
        <is>
          <t>0                      BF 0723000C  5                  S  56</t>
        </is>
      </c>
      <c r="D1089" t="inlineStr">
        <is>
          <t>Cognitive development from childhood to adolescence : a constructivist perspective / Irving E. Sigel, Rodney R. Cocking.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K1089" t="inlineStr">
        <is>
          <t>Sigel, Irving E.</t>
        </is>
      </c>
      <c r="L1089" t="inlineStr">
        <is>
          <t>New York : Holt, Rinehart and Winston, c1977.</t>
        </is>
      </c>
      <c r="M1089" t="inlineStr">
        <is>
          <t>1977</t>
        </is>
      </c>
      <c r="O1089" t="inlineStr">
        <is>
          <t>eng</t>
        </is>
      </c>
      <c r="P1089" t="inlineStr">
        <is>
          <t>nyu</t>
        </is>
      </c>
      <c r="Q1089" t="inlineStr">
        <is>
          <t>Principles of educational psychology series</t>
        </is>
      </c>
      <c r="R1089" t="inlineStr">
        <is>
          <t xml:space="preserve">BF </t>
        </is>
      </c>
      <c r="S1089" t="n">
        <v>8</v>
      </c>
      <c r="T1089" t="n">
        <v>8</v>
      </c>
      <c r="U1089" t="inlineStr">
        <is>
          <t>2010-10-25</t>
        </is>
      </c>
      <c r="V1089" t="inlineStr">
        <is>
          <t>2010-10-25</t>
        </is>
      </c>
      <c r="W1089" t="inlineStr">
        <is>
          <t>1996-08-06</t>
        </is>
      </c>
      <c r="X1089" t="inlineStr">
        <is>
          <t>1996-08-06</t>
        </is>
      </c>
      <c r="Y1089" t="n">
        <v>418</v>
      </c>
      <c r="Z1089" t="n">
        <v>281</v>
      </c>
      <c r="AA1089" t="n">
        <v>283</v>
      </c>
      <c r="AB1089" t="n">
        <v>4</v>
      </c>
      <c r="AC1089" t="n">
        <v>4</v>
      </c>
      <c r="AD1089" t="n">
        <v>12</v>
      </c>
      <c r="AE1089" t="n">
        <v>12</v>
      </c>
      <c r="AF1089" t="n">
        <v>5</v>
      </c>
      <c r="AG1089" t="n">
        <v>5</v>
      </c>
      <c r="AH1089" t="n">
        <v>1</v>
      </c>
      <c r="AI1089" t="n">
        <v>1</v>
      </c>
      <c r="AJ1089" t="n">
        <v>8</v>
      </c>
      <c r="AK1089" t="n">
        <v>8</v>
      </c>
      <c r="AL1089" t="n">
        <v>2</v>
      </c>
      <c r="AM1089" t="n">
        <v>2</v>
      </c>
      <c r="AN1089" t="n">
        <v>0</v>
      </c>
      <c r="AO1089" t="n">
        <v>0</v>
      </c>
      <c r="AP1089" t="inlineStr">
        <is>
          <t>No</t>
        </is>
      </c>
      <c r="AQ1089" t="inlineStr">
        <is>
          <t>No</t>
        </is>
      </c>
      <c r="AS1089">
        <f>HYPERLINK("https://creighton-primo.hosted.exlibrisgroup.com/primo-explore/search?tab=default_tab&amp;search_scope=EVERYTHING&amp;vid=01CRU&amp;lang=en_US&amp;offset=0&amp;query=any,contains,991004191099702656","Catalog Record")</f>
        <v/>
      </c>
      <c r="AT1089">
        <f>HYPERLINK("http://www.worldcat.org/oclc/2632920","WorldCat Record")</f>
        <v/>
      </c>
      <c r="AU1089" t="inlineStr">
        <is>
          <t>896313544:eng</t>
        </is>
      </c>
      <c r="AV1089" t="inlineStr">
        <is>
          <t>2632920</t>
        </is>
      </c>
      <c r="AW1089" t="inlineStr">
        <is>
          <t>991004191099702656</t>
        </is>
      </c>
      <c r="AX1089" t="inlineStr">
        <is>
          <t>991004191099702656</t>
        </is>
      </c>
      <c r="AY1089" t="inlineStr">
        <is>
          <t>2269927850002656</t>
        </is>
      </c>
      <c r="AZ1089" t="inlineStr">
        <is>
          <t>BOOK</t>
        </is>
      </c>
      <c r="BB1089" t="inlineStr">
        <is>
          <t>9780030156366</t>
        </is>
      </c>
      <c r="BC1089" t="inlineStr">
        <is>
          <t>32285002256179</t>
        </is>
      </c>
      <c r="BD1089" t="inlineStr">
        <is>
          <t>893247269</t>
        </is>
      </c>
    </row>
    <row r="1090">
      <c r="A1090" t="inlineStr">
        <is>
          <t>No</t>
        </is>
      </c>
      <c r="B1090" t="inlineStr">
        <is>
          <t>BF723.C5 T48 1986</t>
        </is>
      </c>
      <c r="C1090" t="inlineStr">
        <is>
          <t>0                      BF 0723000C  5                  T  48          1986</t>
        </is>
      </c>
      <c r="D1090" t="inlineStr">
        <is>
          <t>Thought and emotion : developmental perspectives / edited by David J. Bearison and Herbert Zimiles.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Hillsdale, N.J. : L. Erlbaum Associates, 1986.</t>
        </is>
      </c>
      <c r="M1090" t="inlineStr">
        <is>
          <t>1986</t>
        </is>
      </c>
      <c r="O1090" t="inlineStr">
        <is>
          <t>eng</t>
        </is>
      </c>
      <c r="P1090" t="inlineStr">
        <is>
          <t>nju</t>
        </is>
      </c>
      <c r="Q1090" t="inlineStr">
        <is>
          <t>Jean Piaget Symposium series</t>
        </is>
      </c>
      <c r="R1090" t="inlineStr">
        <is>
          <t xml:space="preserve">BF </t>
        </is>
      </c>
      <c r="S1090" t="n">
        <v>3</v>
      </c>
      <c r="T1090" t="n">
        <v>3</v>
      </c>
      <c r="U1090" t="inlineStr">
        <is>
          <t>2002-11-11</t>
        </is>
      </c>
      <c r="V1090" t="inlineStr">
        <is>
          <t>2002-11-11</t>
        </is>
      </c>
      <c r="W1090" t="inlineStr">
        <is>
          <t>1993-04-07</t>
        </is>
      </c>
      <c r="X1090" t="inlineStr">
        <is>
          <t>1993-04-07</t>
        </is>
      </c>
      <c r="Y1090" t="n">
        <v>379</v>
      </c>
      <c r="Z1090" t="n">
        <v>298</v>
      </c>
      <c r="AA1090" t="n">
        <v>326</v>
      </c>
      <c r="AB1090" t="n">
        <v>3</v>
      </c>
      <c r="AC1090" t="n">
        <v>3</v>
      </c>
      <c r="AD1090" t="n">
        <v>13</v>
      </c>
      <c r="AE1090" t="n">
        <v>13</v>
      </c>
      <c r="AF1090" t="n">
        <v>1</v>
      </c>
      <c r="AG1090" t="n">
        <v>1</v>
      </c>
      <c r="AH1090" t="n">
        <v>4</v>
      </c>
      <c r="AI1090" t="n">
        <v>4</v>
      </c>
      <c r="AJ1090" t="n">
        <v>8</v>
      </c>
      <c r="AK1090" t="n">
        <v>8</v>
      </c>
      <c r="AL1090" t="n">
        <v>2</v>
      </c>
      <c r="AM1090" t="n">
        <v>2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Yes</t>
        </is>
      </c>
      <c r="AR1090">
        <f>HYPERLINK("http://catalog.hathitrust.org/Record/000425651","HathiTrust Record")</f>
        <v/>
      </c>
      <c r="AS1090">
        <f>HYPERLINK("https://creighton-primo.hosted.exlibrisgroup.com/primo-explore/search?tab=default_tab&amp;search_scope=EVERYTHING&amp;vid=01CRU&amp;lang=en_US&amp;offset=0&amp;query=any,contains,991000613419702656","Catalog Record")</f>
        <v/>
      </c>
      <c r="AT1090">
        <f>HYPERLINK("http://www.worldcat.org/oclc/11917852","WorldCat Record")</f>
        <v/>
      </c>
      <c r="AU1090" t="inlineStr">
        <is>
          <t>889836286:eng</t>
        </is>
      </c>
      <c r="AV1090" t="inlineStr">
        <is>
          <t>11917852</t>
        </is>
      </c>
      <c r="AW1090" t="inlineStr">
        <is>
          <t>991000613419702656</t>
        </is>
      </c>
      <c r="AX1090" t="inlineStr">
        <is>
          <t>991000613419702656</t>
        </is>
      </c>
      <c r="AY1090" t="inlineStr">
        <is>
          <t>2267425680002656</t>
        </is>
      </c>
      <c r="AZ1090" t="inlineStr">
        <is>
          <t>BOOK</t>
        </is>
      </c>
      <c r="BB1090" t="inlineStr">
        <is>
          <t>9780898595307</t>
        </is>
      </c>
      <c r="BC1090" t="inlineStr">
        <is>
          <t>32285001604437</t>
        </is>
      </c>
      <c r="BD1090" t="inlineStr">
        <is>
          <t>893708528</t>
        </is>
      </c>
    </row>
    <row r="1091">
      <c r="A1091" t="inlineStr">
        <is>
          <t>No</t>
        </is>
      </c>
      <c r="B1091" t="inlineStr">
        <is>
          <t>BF723.C5 V47 1982</t>
        </is>
      </c>
      <c r="C1091" t="inlineStr">
        <is>
          <t>0                      BF 0723000C  5                  V  47          1982</t>
        </is>
      </c>
      <c r="D1091" t="inlineStr">
        <is>
          <t>Verbal processes in children : progress in cognitive development research / edited by Charles J. Brainerd and Michael Pressley.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L1091" t="inlineStr">
        <is>
          <t>New York : Springer-Verlag, c1982.</t>
        </is>
      </c>
      <c r="M1091" t="inlineStr">
        <is>
          <t>1982</t>
        </is>
      </c>
      <c r="O1091" t="inlineStr">
        <is>
          <t>eng</t>
        </is>
      </c>
      <c r="P1091" t="inlineStr">
        <is>
          <t>nyu</t>
        </is>
      </c>
      <c r="Q1091" t="inlineStr">
        <is>
          <t>Springer series in cognitive development</t>
        </is>
      </c>
      <c r="R1091" t="inlineStr">
        <is>
          <t xml:space="preserve">BF </t>
        </is>
      </c>
      <c r="S1091" t="n">
        <v>5</v>
      </c>
      <c r="T1091" t="n">
        <v>5</v>
      </c>
      <c r="U1091" t="inlineStr">
        <is>
          <t>1995-11-19</t>
        </is>
      </c>
      <c r="V1091" t="inlineStr">
        <is>
          <t>1995-11-19</t>
        </is>
      </c>
      <c r="W1091" t="inlineStr">
        <is>
          <t>1993-04-07</t>
        </is>
      </c>
      <c r="X1091" t="inlineStr">
        <is>
          <t>1993-04-07</t>
        </is>
      </c>
      <c r="Y1091" t="n">
        <v>477</v>
      </c>
      <c r="Z1091" t="n">
        <v>333</v>
      </c>
      <c r="AA1091" t="n">
        <v>356</v>
      </c>
      <c r="AB1091" t="n">
        <v>3</v>
      </c>
      <c r="AC1091" t="n">
        <v>3</v>
      </c>
      <c r="AD1091" t="n">
        <v>10</v>
      </c>
      <c r="AE1091" t="n">
        <v>12</v>
      </c>
      <c r="AF1091" t="n">
        <v>0</v>
      </c>
      <c r="AG1091" t="n">
        <v>2</v>
      </c>
      <c r="AH1091" t="n">
        <v>3</v>
      </c>
      <c r="AI1091" t="n">
        <v>3</v>
      </c>
      <c r="AJ1091" t="n">
        <v>7</v>
      </c>
      <c r="AK1091" t="n">
        <v>8</v>
      </c>
      <c r="AL1091" t="n">
        <v>2</v>
      </c>
      <c r="AM1091" t="n">
        <v>2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Yes</t>
        </is>
      </c>
      <c r="AR1091">
        <f>HYPERLINK("http://catalog.hathitrust.org/Record/000229083","HathiTrust Record")</f>
        <v/>
      </c>
      <c r="AS1091">
        <f>HYPERLINK("https://creighton-primo.hosted.exlibrisgroup.com/primo-explore/search?tab=default_tab&amp;search_scope=EVERYTHING&amp;vid=01CRU&amp;lang=en_US&amp;offset=0&amp;query=any,contains,991005175679702656","Catalog Record")</f>
        <v/>
      </c>
      <c r="AT1091">
        <f>HYPERLINK("http://www.worldcat.org/oclc/7922850","WorldCat Record")</f>
        <v/>
      </c>
      <c r="AU1091" t="inlineStr">
        <is>
          <t>889939958:eng</t>
        </is>
      </c>
      <c r="AV1091" t="inlineStr">
        <is>
          <t>7922850</t>
        </is>
      </c>
      <c r="AW1091" t="inlineStr">
        <is>
          <t>991005175679702656</t>
        </is>
      </c>
      <c r="AX1091" t="inlineStr">
        <is>
          <t>991005175679702656</t>
        </is>
      </c>
      <c r="AY1091" t="inlineStr">
        <is>
          <t>2259476720002656</t>
        </is>
      </c>
      <c r="AZ1091" t="inlineStr">
        <is>
          <t>BOOK</t>
        </is>
      </c>
      <c r="BB1091" t="inlineStr">
        <is>
          <t>9780387906485</t>
        </is>
      </c>
      <c r="BC1091" t="inlineStr">
        <is>
          <t>32285001604445</t>
        </is>
      </c>
      <c r="BD1091" t="inlineStr">
        <is>
          <t>893902248</t>
        </is>
      </c>
    </row>
    <row r="1092">
      <c r="A1092" t="inlineStr">
        <is>
          <t>No</t>
        </is>
      </c>
      <c r="B1092" t="inlineStr">
        <is>
          <t>BF723.C57 C48</t>
        </is>
      </c>
      <c r="C1092" t="inlineStr">
        <is>
          <t>0                      BF 0723000C  57                 C  48</t>
        </is>
      </c>
      <c r="D1092" t="inlineStr">
        <is>
          <t>Children's oral communication skills / edited by W. Patrick Dickson.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L1092" t="inlineStr">
        <is>
          <t>New York : Academic Press, 1981.</t>
        </is>
      </c>
      <c r="M1092" t="inlineStr">
        <is>
          <t>1981</t>
        </is>
      </c>
      <c r="O1092" t="inlineStr">
        <is>
          <t>eng</t>
        </is>
      </c>
      <c r="P1092" t="inlineStr">
        <is>
          <t>nyu</t>
        </is>
      </c>
      <c r="Q1092" t="inlineStr">
        <is>
          <t>Developmental psychology series</t>
        </is>
      </c>
      <c r="R1092" t="inlineStr">
        <is>
          <t xml:space="preserve">BF </t>
        </is>
      </c>
      <c r="S1092" t="n">
        <v>2</v>
      </c>
      <c r="T1092" t="n">
        <v>2</v>
      </c>
      <c r="U1092" t="inlineStr">
        <is>
          <t>1996-10-01</t>
        </is>
      </c>
      <c r="V1092" t="inlineStr">
        <is>
          <t>1996-10-01</t>
        </is>
      </c>
      <c r="W1092" t="inlineStr">
        <is>
          <t>1992-04-15</t>
        </is>
      </c>
      <c r="X1092" t="inlineStr">
        <is>
          <t>1992-04-15</t>
        </is>
      </c>
      <c r="Y1092" t="n">
        <v>563</v>
      </c>
      <c r="Z1092" t="n">
        <v>405</v>
      </c>
      <c r="AA1092" t="n">
        <v>411</v>
      </c>
      <c r="AB1092" t="n">
        <v>4</v>
      </c>
      <c r="AC1092" t="n">
        <v>4</v>
      </c>
      <c r="AD1092" t="n">
        <v>21</v>
      </c>
      <c r="AE1092" t="n">
        <v>21</v>
      </c>
      <c r="AF1092" t="n">
        <v>7</v>
      </c>
      <c r="AG1092" t="n">
        <v>7</v>
      </c>
      <c r="AH1092" t="n">
        <v>5</v>
      </c>
      <c r="AI1092" t="n">
        <v>5</v>
      </c>
      <c r="AJ1092" t="n">
        <v>11</v>
      </c>
      <c r="AK1092" t="n">
        <v>11</v>
      </c>
      <c r="AL1092" t="n">
        <v>3</v>
      </c>
      <c r="AM1092" t="n">
        <v>3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Yes</t>
        </is>
      </c>
      <c r="AR1092">
        <f>HYPERLINK("http://catalog.hathitrust.org/Record/000221404","HathiTrust Record")</f>
        <v/>
      </c>
      <c r="AS1092">
        <f>HYPERLINK("https://creighton-primo.hosted.exlibrisgroup.com/primo-explore/search?tab=default_tab&amp;search_scope=EVERYTHING&amp;vid=01CRU&amp;lang=en_US&amp;offset=0&amp;query=any,contains,991005082659702656","Catalog Record")</f>
        <v/>
      </c>
      <c r="AT1092">
        <f>HYPERLINK("http://www.worldcat.org/oclc/7174853","WorldCat Record")</f>
        <v/>
      </c>
      <c r="AU1092" t="inlineStr">
        <is>
          <t>408863:eng</t>
        </is>
      </c>
      <c r="AV1092" t="inlineStr">
        <is>
          <t>7174853</t>
        </is>
      </c>
      <c r="AW1092" t="inlineStr">
        <is>
          <t>991005082659702656</t>
        </is>
      </c>
      <c r="AX1092" t="inlineStr">
        <is>
          <t>991005082659702656</t>
        </is>
      </c>
      <c r="AY1092" t="inlineStr">
        <is>
          <t>2269609390002656</t>
        </is>
      </c>
      <c r="AZ1092" t="inlineStr">
        <is>
          <t>BOOK</t>
        </is>
      </c>
      <c r="BB1092" t="inlineStr">
        <is>
          <t>9780122154508</t>
        </is>
      </c>
      <c r="BC1092" t="inlineStr">
        <is>
          <t>32285001061315</t>
        </is>
      </c>
      <c r="BD1092" t="inlineStr">
        <is>
          <t>893260518</t>
        </is>
      </c>
    </row>
    <row r="1093">
      <c r="A1093" t="inlineStr">
        <is>
          <t>No</t>
        </is>
      </c>
      <c r="B1093" t="inlineStr">
        <is>
          <t>BF723.D3 G7</t>
        </is>
      </c>
      <c r="C1093" t="inlineStr">
        <is>
          <t>0                      BF 0723000D  3                  G  7</t>
        </is>
      </c>
      <c r="D1093" t="inlineStr">
        <is>
          <t>Explaining death to children / edited by Earl A. Grollman. With an introd. by Louise Bates Ames.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K1093" t="inlineStr">
        <is>
          <t>Grollman, Earl A. compiler.</t>
        </is>
      </c>
      <c r="L1093" t="inlineStr">
        <is>
          <t>Boston : Beacon Press, [1967]</t>
        </is>
      </c>
      <c r="M1093" t="inlineStr">
        <is>
          <t>1967</t>
        </is>
      </c>
      <c r="O1093" t="inlineStr">
        <is>
          <t>eng</t>
        </is>
      </c>
      <c r="P1093" t="inlineStr">
        <is>
          <t>mau</t>
        </is>
      </c>
      <c r="R1093" t="inlineStr">
        <is>
          <t xml:space="preserve">BF </t>
        </is>
      </c>
      <c r="S1093" t="n">
        <v>12</v>
      </c>
      <c r="T1093" t="n">
        <v>12</v>
      </c>
      <c r="U1093" t="inlineStr">
        <is>
          <t>2000-11-14</t>
        </is>
      </c>
      <c r="V1093" t="inlineStr">
        <is>
          <t>2000-11-14</t>
        </is>
      </c>
      <c r="W1093" t="inlineStr">
        <is>
          <t>1991-10-16</t>
        </is>
      </c>
      <c r="X1093" t="inlineStr">
        <is>
          <t>1991-10-16</t>
        </is>
      </c>
      <c r="Y1093" t="n">
        <v>1206</v>
      </c>
      <c r="Z1093" t="n">
        <v>1096</v>
      </c>
      <c r="AA1093" t="n">
        <v>1314</v>
      </c>
      <c r="AB1093" t="n">
        <v>12</v>
      </c>
      <c r="AC1093" t="n">
        <v>13</v>
      </c>
      <c r="AD1093" t="n">
        <v>35</v>
      </c>
      <c r="AE1093" t="n">
        <v>41</v>
      </c>
      <c r="AF1093" t="n">
        <v>13</v>
      </c>
      <c r="AG1093" t="n">
        <v>18</v>
      </c>
      <c r="AH1093" t="n">
        <v>5</v>
      </c>
      <c r="AI1093" t="n">
        <v>7</v>
      </c>
      <c r="AJ1093" t="n">
        <v>18</v>
      </c>
      <c r="AK1093" t="n">
        <v>19</v>
      </c>
      <c r="AL1093" t="n">
        <v>7</v>
      </c>
      <c r="AM1093" t="n">
        <v>7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HYPERLINK("http://catalog.hathitrust.org/Record/000006680","HathiTrust Record")</f>
        <v/>
      </c>
      <c r="AS1093">
        <f>HYPERLINK("https://creighton-primo.hosted.exlibrisgroup.com/primo-explore/search?tab=default_tab&amp;search_scope=EVERYTHING&amp;vid=01CRU&amp;lang=en_US&amp;offset=0&amp;query=any,contains,991002873269702656","Catalog Record")</f>
        <v/>
      </c>
      <c r="AT1093">
        <f>HYPERLINK("http://www.worldcat.org/oclc/501090","WorldCat Record")</f>
        <v/>
      </c>
      <c r="AU1093" t="inlineStr">
        <is>
          <t>150057:eng</t>
        </is>
      </c>
      <c r="AV1093" t="inlineStr">
        <is>
          <t>501090</t>
        </is>
      </c>
      <c r="AW1093" t="inlineStr">
        <is>
          <t>991002873269702656</t>
        </is>
      </c>
      <c r="AX1093" t="inlineStr">
        <is>
          <t>991002873269702656</t>
        </is>
      </c>
      <c r="AY1093" t="inlineStr">
        <is>
          <t>2256466890002656</t>
        </is>
      </c>
      <c r="AZ1093" t="inlineStr">
        <is>
          <t>BOOK</t>
        </is>
      </c>
      <c r="BC1093" t="inlineStr">
        <is>
          <t>32285000773407</t>
        </is>
      </c>
      <c r="BD1093" t="inlineStr">
        <is>
          <t>893616689</t>
        </is>
      </c>
    </row>
    <row r="1094">
      <c r="A1094" t="inlineStr">
        <is>
          <t>No</t>
        </is>
      </c>
      <c r="B1094" t="inlineStr">
        <is>
          <t>BF723.D3 G72 1976</t>
        </is>
      </c>
      <c r="C1094" t="inlineStr">
        <is>
          <t>0                      BF 0723000D  3                  G  72          1976</t>
        </is>
      </c>
      <c r="D1094" t="inlineStr">
        <is>
          <t>Talking about death : a dialogue between parent and child / Earl A. Grollman ; illustrated by Gisela Héau.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K1094" t="inlineStr">
        <is>
          <t>Grollman, Earl A.</t>
        </is>
      </c>
      <c r="L1094" t="inlineStr">
        <is>
          <t>Boston : Beacon Press, c1976.</t>
        </is>
      </c>
      <c r="M1094" t="inlineStr">
        <is>
          <t>1976</t>
        </is>
      </c>
      <c r="N1094" t="inlineStr">
        <is>
          <t>A new ed., with a Parent's guide and recommended resources.</t>
        </is>
      </c>
      <c r="O1094" t="inlineStr">
        <is>
          <t>eng</t>
        </is>
      </c>
      <c r="P1094" t="inlineStr">
        <is>
          <t>mau</t>
        </is>
      </c>
      <c r="R1094" t="inlineStr">
        <is>
          <t xml:space="preserve">BF </t>
        </is>
      </c>
      <c r="S1094" t="n">
        <v>13</v>
      </c>
      <c r="T1094" t="n">
        <v>13</v>
      </c>
      <c r="U1094" t="inlineStr">
        <is>
          <t>2004-01-13</t>
        </is>
      </c>
      <c r="V1094" t="inlineStr">
        <is>
          <t>2004-01-13</t>
        </is>
      </c>
      <c r="W1094" t="inlineStr">
        <is>
          <t>1991-12-17</t>
        </is>
      </c>
      <c r="X1094" t="inlineStr">
        <is>
          <t>1991-12-17</t>
        </is>
      </c>
      <c r="Y1094" t="n">
        <v>767</v>
      </c>
      <c r="Z1094" t="n">
        <v>709</v>
      </c>
      <c r="AA1094" t="n">
        <v>1553</v>
      </c>
      <c r="AB1094" t="n">
        <v>7</v>
      </c>
      <c r="AC1094" t="n">
        <v>16</v>
      </c>
      <c r="AD1094" t="n">
        <v>20</v>
      </c>
      <c r="AE1094" t="n">
        <v>36</v>
      </c>
      <c r="AF1094" t="n">
        <v>10</v>
      </c>
      <c r="AG1094" t="n">
        <v>18</v>
      </c>
      <c r="AH1094" t="n">
        <v>3</v>
      </c>
      <c r="AI1094" t="n">
        <v>4</v>
      </c>
      <c r="AJ1094" t="n">
        <v>10</v>
      </c>
      <c r="AK1094" t="n">
        <v>17</v>
      </c>
      <c r="AL1094" t="n">
        <v>3</v>
      </c>
      <c r="AM1094" t="n">
        <v>5</v>
      </c>
      <c r="AN1094" t="n">
        <v>0</v>
      </c>
      <c r="AO1094" t="n">
        <v>0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HYPERLINK("http://catalog.hathitrust.org/Record/000700044","HathiTrust Record")</f>
        <v/>
      </c>
      <c r="AS1094">
        <f>HYPERLINK("https://creighton-primo.hosted.exlibrisgroup.com/primo-explore/search?tab=default_tab&amp;search_scope=EVERYTHING&amp;vid=01CRU&amp;lang=en_US&amp;offset=0&amp;query=any,contains,991003946199702656","Catalog Record")</f>
        <v/>
      </c>
      <c r="AT1094">
        <f>HYPERLINK("http://www.worldcat.org/oclc/1945437","WorldCat Record")</f>
        <v/>
      </c>
      <c r="AU1094" t="inlineStr">
        <is>
          <t>1084190:eng</t>
        </is>
      </c>
      <c r="AV1094" t="inlineStr">
        <is>
          <t>1945437</t>
        </is>
      </c>
      <c r="AW1094" t="inlineStr">
        <is>
          <t>991003946199702656</t>
        </is>
      </c>
      <c r="AX1094" t="inlineStr">
        <is>
          <t>991003946199702656</t>
        </is>
      </c>
      <c r="AY1094" t="inlineStr">
        <is>
          <t>2264699810002656</t>
        </is>
      </c>
      <c r="AZ1094" t="inlineStr">
        <is>
          <t>BOOK</t>
        </is>
      </c>
      <c r="BB1094" t="inlineStr">
        <is>
          <t>9780807023723</t>
        </is>
      </c>
      <c r="BC1094" t="inlineStr">
        <is>
          <t>32285000901081</t>
        </is>
      </c>
      <c r="BD1094" t="inlineStr">
        <is>
          <t>893423192</t>
        </is>
      </c>
    </row>
    <row r="1095">
      <c r="A1095" t="inlineStr">
        <is>
          <t>No</t>
        </is>
      </c>
      <c r="B1095" t="inlineStr">
        <is>
          <t>BF723.D3 H44 1984</t>
        </is>
      </c>
      <c r="C1095" t="inlineStr">
        <is>
          <t>0                      BF 0723000D  3                  H  44          1984</t>
        </is>
      </c>
      <c r="D1095" t="inlineStr">
        <is>
          <t>Helping children cope with death : guidelines and resources / edited by Hannelore Wass and Charles A. Corr.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L1095" t="inlineStr">
        <is>
          <t>Washington : Hemisphere Publishing Corp., c1984.</t>
        </is>
      </c>
      <c r="M1095" t="inlineStr">
        <is>
          <t>1984</t>
        </is>
      </c>
      <c r="N1095" t="inlineStr">
        <is>
          <t>2nd ed.</t>
        </is>
      </c>
      <c r="O1095" t="inlineStr">
        <is>
          <t>eng</t>
        </is>
      </c>
      <c r="P1095" t="inlineStr">
        <is>
          <t>dcu</t>
        </is>
      </c>
      <c r="Q1095" t="inlineStr">
        <is>
          <t>Series in death education, aging, and health care</t>
        </is>
      </c>
      <c r="R1095" t="inlineStr">
        <is>
          <t xml:space="preserve">BF </t>
        </is>
      </c>
      <c r="S1095" t="n">
        <v>16</v>
      </c>
      <c r="T1095" t="n">
        <v>16</v>
      </c>
      <c r="U1095" t="inlineStr">
        <is>
          <t>2004-01-13</t>
        </is>
      </c>
      <c r="V1095" t="inlineStr">
        <is>
          <t>2004-01-13</t>
        </is>
      </c>
      <c r="W1095" t="inlineStr">
        <is>
          <t>1990-07-26</t>
        </is>
      </c>
      <c r="X1095" t="inlineStr">
        <is>
          <t>1990-07-26</t>
        </is>
      </c>
      <c r="Y1095" t="n">
        <v>550</v>
      </c>
      <c r="Z1095" t="n">
        <v>492</v>
      </c>
      <c r="AA1095" t="n">
        <v>710</v>
      </c>
      <c r="AB1095" t="n">
        <v>6</v>
      </c>
      <c r="AC1095" t="n">
        <v>7</v>
      </c>
      <c r="AD1095" t="n">
        <v>20</v>
      </c>
      <c r="AE1095" t="n">
        <v>28</v>
      </c>
      <c r="AF1095" t="n">
        <v>8</v>
      </c>
      <c r="AG1095" t="n">
        <v>12</v>
      </c>
      <c r="AH1095" t="n">
        <v>4</v>
      </c>
      <c r="AI1095" t="n">
        <v>5</v>
      </c>
      <c r="AJ1095" t="n">
        <v>7</v>
      </c>
      <c r="AK1095" t="n">
        <v>10</v>
      </c>
      <c r="AL1095" t="n">
        <v>5</v>
      </c>
      <c r="AM1095" t="n">
        <v>6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Yes</t>
        </is>
      </c>
      <c r="AR1095">
        <f>HYPERLINK("http://catalog.hathitrust.org/Record/000122390","HathiTrust Record")</f>
        <v/>
      </c>
      <c r="AS1095">
        <f>HYPERLINK("https://creighton-primo.hosted.exlibrisgroup.com/primo-explore/search?tab=default_tab&amp;search_scope=EVERYTHING&amp;vid=01CRU&amp;lang=en_US&amp;offset=0&amp;query=any,contains,991000311219702656","Catalog Record")</f>
        <v/>
      </c>
      <c r="AT1095">
        <f>HYPERLINK("http://www.worldcat.org/oclc/10099093","WorldCat Record")</f>
        <v/>
      </c>
      <c r="AU1095" t="inlineStr">
        <is>
          <t>865283883:eng</t>
        </is>
      </c>
      <c r="AV1095" t="inlineStr">
        <is>
          <t>10099093</t>
        </is>
      </c>
      <c r="AW1095" t="inlineStr">
        <is>
          <t>991000311219702656</t>
        </is>
      </c>
      <c r="AX1095" t="inlineStr">
        <is>
          <t>991000311219702656</t>
        </is>
      </c>
      <c r="AY1095" t="inlineStr">
        <is>
          <t>2265745060002656</t>
        </is>
      </c>
      <c r="AZ1095" t="inlineStr">
        <is>
          <t>BOOK</t>
        </is>
      </c>
      <c r="BB1095" t="inlineStr">
        <is>
          <t>9780891163695</t>
        </is>
      </c>
      <c r="BC1095" t="inlineStr">
        <is>
          <t>32285000240720</t>
        </is>
      </c>
      <c r="BD1095" t="inlineStr">
        <is>
          <t>893796551</t>
        </is>
      </c>
    </row>
    <row r="1096">
      <c r="A1096" t="inlineStr">
        <is>
          <t>No</t>
        </is>
      </c>
      <c r="B1096" t="inlineStr">
        <is>
          <t>BF723.D3 L645 1986</t>
        </is>
      </c>
      <c r="C1096" t="inlineStr">
        <is>
          <t>0                      BF 0723000D  3                  L  645         1986</t>
        </is>
      </c>
      <c r="D1096" t="inlineStr">
        <is>
          <t>Kids grieve too! / by Victor S. Lombardo and Edith Foran Lombardo.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K1096" t="inlineStr">
        <is>
          <t>Lombardo, Victor S.</t>
        </is>
      </c>
      <c r="L1096" t="inlineStr">
        <is>
          <t>Springfield, Ill., U.S.A. : C.C. Thomas, c1986.</t>
        </is>
      </c>
      <c r="M1096" t="inlineStr">
        <is>
          <t>1986</t>
        </is>
      </c>
      <c r="O1096" t="inlineStr">
        <is>
          <t>eng</t>
        </is>
      </c>
      <c r="P1096" t="inlineStr">
        <is>
          <t>ilu</t>
        </is>
      </c>
      <c r="R1096" t="inlineStr">
        <is>
          <t xml:space="preserve">BF </t>
        </is>
      </c>
      <c r="S1096" t="n">
        <v>19</v>
      </c>
      <c r="T1096" t="n">
        <v>19</v>
      </c>
      <c r="U1096" t="inlineStr">
        <is>
          <t>2004-01-13</t>
        </is>
      </c>
      <c r="V1096" t="inlineStr">
        <is>
          <t>2004-01-13</t>
        </is>
      </c>
      <c r="W1096" t="inlineStr">
        <is>
          <t>1991-10-18</t>
        </is>
      </c>
      <c r="X1096" t="inlineStr">
        <is>
          <t>1991-10-18</t>
        </is>
      </c>
      <c r="Y1096" t="n">
        <v>119</v>
      </c>
      <c r="Z1096" t="n">
        <v>99</v>
      </c>
      <c r="AA1096" t="n">
        <v>100</v>
      </c>
      <c r="AB1096" t="n">
        <v>2</v>
      </c>
      <c r="AC1096" t="n">
        <v>2</v>
      </c>
      <c r="AD1096" t="n">
        <v>4</v>
      </c>
      <c r="AE1096" t="n">
        <v>4</v>
      </c>
      <c r="AF1096" t="n">
        <v>1</v>
      </c>
      <c r="AG1096" t="n">
        <v>1</v>
      </c>
      <c r="AH1096" t="n">
        <v>1</v>
      </c>
      <c r="AI1096" t="n">
        <v>1</v>
      </c>
      <c r="AJ1096" t="n">
        <v>3</v>
      </c>
      <c r="AK1096" t="n">
        <v>3</v>
      </c>
      <c r="AL1096" t="n">
        <v>1</v>
      </c>
      <c r="AM1096" t="n">
        <v>1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Yes</t>
        </is>
      </c>
      <c r="AR1096">
        <f>HYPERLINK("http://catalog.hathitrust.org/Record/007104758","HathiTrust Record")</f>
        <v/>
      </c>
      <c r="AS1096">
        <f>HYPERLINK("https://creighton-primo.hosted.exlibrisgroup.com/primo-explore/search?tab=default_tab&amp;search_scope=EVERYTHING&amp;vid=01CRU&amp;lang=en_US&amp;offset=0&amp;query=any,contains,991000884369702656","Catalog Record")</f>
        <v/>
      </c>
      <c r="AT1096">
        <f>HYPERLINK("http://www.worldcat.org/oclc/13860247","WorldCat Record")</f>
        <v/>
      </c>
      <c r="AU1096" t="inlineStr">
        <is>
          <t>7010135:eng</t>
        </is>
      </c>
      <c r="AV1096" t="inlineStr">
        <is>
          <t>13860247</t>
        </is>
      </c>
      <c r="AW1096" t="inlineStr">
        <is>
          <t>991000884369702656</t>
        </is>
      </c>
      <c r="AX1096" t="inlineStr">
        <is>
          <t>991000884369702656</t>
        </is>
      </c>
      <c r="AY1096" t="inlineStr">
        <is>
          <t>2264279350002656</t>
        </is>
      </c>
      <c r="AZ1096" t="inlineStr">
        <is>
          <t>BOOK</t>
        </is>
      </c>
      <c r="BB1096" t="inlineStr">
        <is>
          <t>9780398052751</t>
        </is>
      </c>
      <c r="BC1096" t="inlineStr">
        <is>
          <t>32285000776293</t>
        </is>
      </c>
      <c r="BD1096" t="inlineStr">
        <is>
          <t>893509193</t>
        </is>
      </c>
    </row>
    <row r="1097">
      <c r="A1097" t="inlineStr">
        <is>
          <t>No</t>
        </is>
      </c>
      <c r="B1097" t="inlineStr">
        <is>
          <t>BF723.D3 L66</t>
        </is>
      </c>
      <c r="C1097" t="inlineStr">
        <is>
          <t>0                      BF 0723000D  3                  L  66</t>
        </is>
      </c>
      <c r="D1097" t="inlineStr">
        <is>
          <t>Children's conceptions of death / Richard Lonetto.</t>
        </is>
      </c>
      <c r="F1097" t="inlineStr">
        <is>
          <t>No</t>
        </is>
      </c>
      <c r="G1097" t="inlineStr">
        <is>
          <t>1</t>
        </is>
      </c>
      <c r="H1097" t="inlineStr">
        <is>
          <t>No</t>
        </is>
      </c>
      <c r="I1097" t="inlineStr">
        <is>
          <t>No</t>
        </is>
      </c>
      <c r="J1097" t="inlineStr">
        <is>
          <t>0</t>
        </is>
      </c>
      <c r="K1097" t="inlineStr">
        <is>
          <t>Lonetto, Richard.</t>
        </is>
      </c>
      <c r="L1097" t="inlineStr">
        <is>
          <t>New York : Springer Pub. Co., c1980.</t>
        </is>
      </c>
      <c r="M1097" t="inlineStr">
        <is>
          <t>1980</t>
        </is>
      </c>
      <c r="O1097" t="inlineStr">
        <is>
          <t>eng</t>
        </is>
      </c>
      <c r="P1097" t="inlineStr">
        <is>
          <t>nyu</t>
        </is>
      </c>
      <c r="Q1097" t="inlineStr">
        <is>
          <t>The Springer series on death and suicide ; v. 3</t>
        </is>
      </c>
      <c r="R1097" t="inlineStr">
        <is>
          <t xml:space="preserve">BF </t>
        </is>
      </c>
      <c r="S1097" t="n">
        <v>16</v>
      </c>
      <c r="T1097" t="n">
        <v>16</v>
      </c>
      <c r="U1097" t="inlineStr">
        <is>
          <t>1999-10-25</t>
        </is>
      </c>
      <c r="V1097" t="inlineStr">
        <is>
          <t>1999-10-25</t>
        </is>
      </c>
      <c r="W1097" t="inlineStr">
        <is>
          <t>1992-03-06</t>
        </is>
      </c>
      <c r="X1097" t="inlineStr">
        <is>
          <t>1992-03-06</t>
        </is>
      </c>
      <c r="Y1097" t="n">
        <v>580</v>
      </c>
      <c r="Z1097" t="n">
        <v>484</v>
      </c>
      <c r="AA1097" t="n">
        <v>491</v>
      </c>
      <c r="AB1097" t="n">
        <v>4</v>
      </c>
      <c r="AC1097" t="n">
        <v>4</v>
      </c>
      <c r="AD1097" t="n">
        <v>16</v>
      </c>
      <c r="AE1097" t="n">
        <v>16</v>
      </c>
      <c r="AF1097" t="n">
        <v>7</v>
      </c>
      <c r="AG1097" t="n">
        <v>7</v>
      </c>
      <c r="AH1097" t="n">
        <v>3</v>
      </c>
      <c r="AI1097" t="n">
        <v>3</v>
      </c>
      <c r="AJ1097" t="n">
        <v>5</v>
      </c>
      <c r="AK1097" t="n">
        <v>5</v>
      </c>
      <c r="AL1097" t="n">
        <v>3</v>
      </c>
      <c r="AM1097" t="n">
        <v>3</v>
      </c>
      <c r="AN1097" t="n">
        <v>0</v>
      </c>
      <c r="AO1097" t="n">
        <v>0</v>
      </c>
      <c r="AP1097" t="inlineStr">
        <is>
          <t>No</t>
        </is>
      </c>
      <c r="AQ1097" t="inlineStr">
        <is>
          <t>Yes</t>
        </is>
      </c>
      <c r="AR1097">
        <f>HYPERLINK("http://catalog.hathitrust.org/Record/000181340","HathiTrust Record")</f>
        <v/>
      </c>
      <c r="AS1097">
        <f>HYPERLINK("https://creighton-primo.hosted.exlibrisgroup.com/primo-explore/search?tab=default_tab&amp;search_scope=EVERYTHING&amp;vid=01CRU&amp;lang=en_US&amp;offset=0&amp;query=any,contains,991004858029702656","Catalog Record")</f>
        <v/>
      </c>
      <c r="AT1097">
        <f>HYPERLINK("http://www.worldcat.org/oclc/5676863","WorldCat Record")</f>
        <v/>
      </c>
      <c r="AU1097" t="inlineStr">
        <is>
          <t>493066:eng</t>
        </is>
      </c>
      <c r="AV1097" t="inlineStr">
        <is>
          <t>5676863</t>
        </is>
      </c>
      <c r="AW1097" t="inlineStr">
        <is>
          <t>991004858029702656</t>
        </is>
      </c>
      <c r="AX1097" t="inlineStr">
        <is>
          <t>991004858029702656</t>
        </is>
      </c>
      <c r="AY1097" t="inlineStr">
        <is>
          <t>2260060500002656</t>
        </is>
      </c>
      <c r="AZ1097" t="inlineStr">
        <is>
          <t>BOOK</t>
        </is>
      </c>
      <c r="BB1097" t="inlineStr">
        <is>
          <t>9780826125507</t>
        </is>
      </c>
      <c r="BC1097" t="inlineStr">
        <is>
          <t>32285000937507</t>
        </is>
      </c>
      <c r="BD1097" t="inlineStr">
        <is>
          <t>893606538</t>
        </is>
      </c>
    </row>
    <row r="1098">
      <c r="A1098" t="inlineStr">
        <is>
          <t>No</t>
        </is>
      </c>
      <c r="B1098" t="inlineStr">
        <is>
          <t>BF723.D3 M6</t>
        </is>
      </c>
      <c r="C1098" t="inlineStr">
        <is>
          <t>0                      BF 0723000D  3                  M  6</t>
        </is>
      </c>
      <c r="D1098" t="inlineStr">
        <is>
          <t>The loss of loved ones : the effects of a death in the family on personality development / compiled and edited by David M. Moriarty. With contributions by Timothy Harrington [and others] With a foreword by Bardwell H. Flower.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Moriarty, David M.</t>
        </is>
      </c>
      <c r="L1098" t="inlineStr">
        <is>
          <t>Springfield, Ill. : C.C. Thomas, [1967]</t>
        </is>
      </c>
      <c r="M1098" t="inlineStr">
        <is>
          <t>1967</t>
        </is>
      </c>
      <c r="O1098" t="inlineStr">
        <is>
          <t>eng</t>
        </is>
      </c>
      <c r="P1098" t="inlineStr">
        <is>
          <t>ilu</t>
        </is>
      </c>
      <c r="R1098" t="inlineStr">
        <is>
          <t xml:space="preserve">BF </t>
        </is>
      </c>
      <c r="S1098" t="n">
        <v>18</v>
      </c>
      <c r="T1098" t="n">
        <v>18</v>
      </c>
      <c r="U1098" t="inlineStr">
        <is>
          <t>2000-10-03</t>
        </is>
      </c>
      <c r="V1098" t="inlineStr">
        <is>
          <t>2000-10-03</t>
        </is>
      </c>
      <c r="W1098" t="inlineStr">
        <is>
          <t>1992-04-09</t>
        </is>
      </c>
      <c r="X1098" t="inlineStr">
        <is>
          <t>1992-04-09</t>
        </is>
      </c>
      <c r="Y1098" t="n">
        <v>389</v>
      </c>
      <c r="Z1098" t="n">
        <v>335</v>
      </c>
      <c r="AA1098" t="n">
        <v>431</v>
      </c>
      <c r="AB1098" t="n">
        <v>5</v>
      </c>
      <c r="AC1098" t="n">
        <v>5</v>
      </c>
      <c r="AD1098" t="n">
        <v>13</v>
      </c>
      <c r="AE1098" t="n">
        <v>16</v>
      </c>
      <c r="AF1098" t="n">
        <v>2</v>
      </c>
      <c r="AG1098" t="n">
        <v>3</v>
      </c>
      <c r="AH1098" t="n">
        <v>2</v>
      </c>
      <c r="AI1098" t="n">
        <v>3</v>
      </c>
      <c r="AJ1098" t="n">
        <v>6</v>
      </c>
      <c r="AK1098" t="n">
        <v>9</v>
      </c>
      <c r="AL1098" t="n">
        <v>4</v>
      </c>
      <c r="AM1098" t="n">
        <v>4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No</t>
        </is>
      </c>
      <c r="AS1098">
        <f>HYPERLINK("https://creighton-primo.hosted.exlibrisgroup.com/primo-explore/search?tab=default_tab&amp;search_scope=EVERYTHING&amp;vid=01CRU&amp;lang=en_US&amp;offset=0&amp;query=any,contains,991002873299702656","Catalog Record")</f>
        <v/>
      </c>
      <c r="AT1098">
        <f>HYPERLINK("http://www.worldcat.org/oclc/501102","WorldCat Record")</f>
        <v/>
      </c>
      <c r="AU1098" t="inlineStr">
        <is>
          <t>531603:eng</t>
        </is>
      </c>
      <c r="AV1098" t="inlineStr">
        <is>
          <t>501102</t>
        </is>
      </c>
      <c r="AW1098" t="inlineStr">
        <is>
          <t>991002873299702656</t>
        </is>
      </c>
      <c r="AX1098" t="inlineStr">
        <is>
          <t>991002873299702656</t>
        </is>
      </c>
      <c r="AY1098" t="inlineStr">
        <is>
          <t>2256412700002656</t>
        </is>
      </c>
      <c r="AZ1098" t="inlineStr">
        <is>
          <t>BOOK</t>
        </is>
      </c>
      <c r="BC1098" t="inlineStr">
        <is>
          <t>32285001057404</t>
        </is>
      </c>
      <c r="BD1098" t="inlineStr">
        <is>
          <t>893323480</t>
        </is>
      </c>
    </row>
    <row r="1099">
      <c r="A1099" t="inlineStr">
        <is>
          <t>No</t>
        </is>
      </c>
      <c r="B1099" t="inlineStr">
        <is>
          <t>BF723.D4 B68</t>
        </is>
      </c>
      <c r="C1099" t="inlineStr">
        <is>
          <t>0                      BF 0723000D  4                  B  68</t>
        </is>
      </c>
      <c r="D1099" t="inlineStr">
        <is>
          <t>The making &amp; breaking of affectional bonds / [by] John Bowlby.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K1099" t="inlineStr">
        <is>
          <t>Bowlby, John.</t>
        </is>
      </c>
      <c r="L1099" t="inlineStr">
        <is>
          <t>London : Tavistock Publications, 1979.</t>
        </is>
      </c>
      <c r="M1099" t="inlineStr">
        <is>
          <t>1979</t>
        </is>
      </c>
      <c r="O1099" t="inlineStr">
        <is>
          <t>eng</t>
        </is>
      </c>
      <c r="P1099" t="inlineStr">
        <is>
          <t>enk</t>
        </is>
      </c>
      <c r="R1099" t="inlineStr">
        <is>
          <t xml:space="preserve">BF </t>
        </is>
      </c>
      <c r="S1099" t="n">
        <v>16</v>
      </c>
      <c r="T1099" t="n">
        <v>16</v>
      </c>
      <c r="U1099" t="inlineStr">
        <is>
          <t>2007-09-18</t>
        </is>
      </c>
      <c r="V1099" t="inlineStr">
        <is>
          <t>2007-09-18</t>
        </is>
      </c>
      <c r="W1099" t="inlineStr">
        <is>
          <t>1993-04-07</t>
        </is>
      </c>
      <c r="X1099" t="inlineStr">
        <is>
          <t>1993-04-07</t>
        </is>
      </c>
      <c r="Y1099" t="n">
        <v>544</v>
      </c>
      <c r="Z1099" t="n">
        <v>341</v>
      </c>
      <c r="AA1099" t="n">
        <v>502</v>
      </c>
      <c r="AB1099" t="n">
        <v>2</v>
      </c>
      <c r="AC1099" t="n">
        <v>3</v>
      </c>
      <c r="AD1099" t="n">
        <v>12</v>
      </c>
      <c r="AE1099" t="n">
        <v>23</v>
      </c>
      <c r="AF1099" t="n">
        <v>5</v>
      </c>
      <c r="AG1099" t="n">
        <v>8</v>
      </c>
      <c r="AH1099" t="n">
        <v>3</v>
      </c>
      <c r="AI1099" t="n">
        <v>6</v>
      </c>
      <c r="AJ1099" t="n">
        <v>8</v>
      </c>
      <c r="AK1099" t="n">
        <v>12</v>
      </c>
      <c r="AL1099" t="n">
        <v>1</v>
      </c>
      <c r="AM1099" t="n">
        <v>2</v>
      </c>
      <c r="AN1099" t="n">
        <v>0</v>
      </c>
      <c r="AO1099" t="n">
        <v>0</v>
      </c>
      <c r="AP1099" t="inlineStr">
        <is>
          <t>No</t>
        </is>
      </c>
      <c r="AQ1099" t="inlineStr">
        <is>
          <t>No</t>
        </is>
      </c>
      <c r="AS1099">
        <f>HYPERLINK("https://creighton-primo.hosted.exlibrisgroup.com/primo-explore/search?tab=default_tab&amp;search_scope=EVERYTHING&amp;vid=01CRU&amp;lang=en_US&amp;offset=0&amp;query=any,contains,991004892059702656","Catalog Record")</f>
        <v/>
      </c>
      <c r="AT1099">
        <f>HYPERLINK("http://www.worldcat.org/oclc/5881881","WorldCat Record")</f>
        <v/>
      </c>
      <c r="AU1099" t="inlineStr">
        <is>
          <t>179205:eng</t>
        </is>
      </c>
      <c r="AV1099" t="inlineStr">
        <is>
          <t>5881881</t>
        </is>
      </c>
      <c r="AW1099" t="inlineStr">
        <is>
          <t>991004892059702656</t>
        </is>
      </c>
      <c r="AX1099" t="inlineStr">
        <is>
          <t>991004892059702656</t>
        </is>
      </c>
      <c r="AY1099" t="inlineStr">
        <is>
          <t>2266898210002656</t>
        </is>
      </c>
      <c r="AZ1099" t="inlineStr">
        <is>
          <t>BOOK</t>
        </is>
      </c>
      <c r="BB1099" t="inlineStr">
        <is>
          <t>9780422768504</t>
        </is>
      </c>
      <c r="BC1099" t="inlineStr">
        <is>
          <t>32285001604494</t>
        </is>
      </c>
      <c r="BD1099" t="inlineStr">
        <is>
          <t>893700791</t>
        </is>
      </c>
    </row>
    <row r="1100">
      <c r="A1100" t="inlineStr">
        <is>
          <t>No</t>
        </is>
      </c>
      <c r="B1100" t="inlineStr">
        <is>
          <t>BF723.D7 K56 1982</t>
        </is>
      </c>
      <c r="C1100" t="inlineStr">
        <is>
          <t>0                      BF 0723000D  7                  K  56          1982</t>
        </is>
      </c>
      <c r="D1100" t="inlineStr">
        <is>
          <t>Children draw and tell : an introduction to the projective uses of children's human figure drawings / by Marvin Klepsch and Laura Logie.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Klepsch, Marvin, 1940-</t>
        </is>
      </c>
      <c r="L1100" t="inlineStr">
        <is>
          <t>New York : Brunner/Mazel, c1982.</t>
        </is>
      </c>
      <c r="M1100" t="inlineStr">
        <is>
          <t>1982</t>
        </is>
      </c>
      <c r="O1100" t="inlineStr">
        <is>
          <t>eng</t>
        </is>
      </c>
      <c r="P1100" t="inlineStr">
        <is>
          <t>nyu</t>
        </is>
      </c>
      <c r="R1100" t="inlineStr">
        <is>
          <t xml:space="preserve">BF </t>
        </is>
      </c>
      <c r="S1100" t="n">
        <v>17</v>
      </c>
      <c r="T1100" t="n">
        <v>17</v>
      </c>
      <c r="U1100" t="inlineStr">
        <is>
          <t>1999-12-08</t>
        </is>
      </c>
      <c r="V1100" t="inlineStr">
        <is>
          <t>1999-12-08</t>
        </is>
      </c>
      <c r="W1100" t="inlineStr">
        <is>
          <t>1993-04-07</t>
        </is>
      </c>
      <c r="X1100" t="inlineStr">
        <is>
          <t>1993-04-07</t>
        </is>
      </c>
      <c r="Y1100" t="n">
        <v>520</v>
      </c>
      <c r="Z1100" t="n">
        <v>418</v>
      </c>
      <c r="AA1100" t="n">
        <v>445</v>
      </c>
      <c r="AB1100" t="n">
        <v>2</v>
      </c>
      <c r="AC1100" t="n">
        <v>2</v>
      </c>
      <c r="AD1100" t="n">
        <v>16</v>
      </c>
      <c r="AE1100" t="n">
        <v>16</v>
      </c>
      <c r="AF1100" t="n">
        <v>9</v>
      </c>
      <c r="AG1100" t="n">
        <v>9</v>
      </c>
      <c r="AH1100" t="n">
        <v>2</v>
      </c>
      <c r="AI1100" t="n">
        <v>2</v>
      </c>
      <c r="AJ1100" t="n">
        <v>8</v>
      </c>
      <c r="AK1100" t="n">
        <v>8</v>
      </c>
      <c r="AL1100" t="n">
        <v>1</v>
      </c>
      <c r="AM1100" t="n">
        <v>1</v>
      </c>
      <c r="AN1100" t="n">
        <v>0</v>
      </c>
      <c r="AO1100" t="n">
        <v>0</v>
      </c>
      <c r="AP1100" t="inlineStr">
        <is>
          <t>No</t>
        </is>
      </c>
      <c r="AQ1100" t="inlineStr">
        <is>
          <t>Yes</t>
        </is>
      </c>
      <c r="AR1100">
        <f>HYPERLINK("http://catalog.hathitrust.org/Record/000189683","HathiTrust Record")</f>
        <v/>
      </c>
      <c r="AS1100">
        <f>HYPERLINK("https://creighton-primo.hosted.exlibrisgroup.com/primo-explore/search?tab=default_tab&amp;search_scope=EVERYTHING&amp;vid=01CRU&amp;lang=en_US&amp;offset=0&amp;query=any,contains,991005213089702656","Catalog Record")</f>
        <v/>
      </c>
      <c r="AT1100">
        <f>HYPERLINK("http://www.worldcat.org/oclc/8171062","WorldCat Record")</f>
        <v/>
      </c>
      <c r="AU1100" t="inlineStr">
        <is>
          <t>364056270:eng</t>
        </is>
      </c>
      <c r="AV1100" t="inlineStr">
        <is>
          <t>8171062</t>
        </is>
      </c>
      <c r="AW1100" t="inlineStr">
        <is>
          <t>991005213089702656</t>
        </is>
      </c>
      <c r="AX1100" t="inlineStr">
        <is>
          <t>991005213089702656</t>
        </is>
      </c>
      <c r="AY1100" t="inlineStr">
        <is>
          <t>2256939860002656</t>
        </is>
      </c>
      <c r="AZ1100" t="inlineStr">
        <is>
          <t>BOOK</t>
        </is>
      </c>
      <c r="BB1100" t="inlineStr">
        <is>
          <t>9780876302989</t>
        </is>
      </c>
      <c r="BC1100" t="inlineStr">
        <is>
          <t>32285001604510</t>
        </is>
      </c>
      <c r="BD1100" t="inlineStr">
        <is>
          <t>893808014</t>
        </is>
      </c>
    </row>
    <row r="1101">
      <c r="A1101" t="inlineStr">
        <is>
          <t>No</t>
        </is>
      </c>
      <c r="B1101" t="inlineStr">
        <is>
          <t>BF723.E598 F3</t>
        </is>
      </c>
      <c r="C1101" t="inlineStr">
        <is>
          <t>0                      BF 0723000E  598                F  3</t>
        </is>
      </c>
      <c r="D1101" t="inlineStr">
        <is>
          <t>Helping children cope / Joan Fassler ; ill. by William B. Hogan.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Fassler, Joan.</t>
        </is>
      </c>
      <c r="L1101" t="inlineStr">
        <is>
          <t>New York : Free Press, c1978.</t>
        </is>
      </c>
      <c r="M1101" t="inlineStr">
        <is>
          <t>1978</t>
        </is>
      </c>
      <c r="O1101" t="inlineStr">
        <is>
          <t>eng</t>
        </is>
      </c>
      <c r="P1101" t="inlineStr">
        <is>
          <t>nyu</t>
        </is>
      </c>
      <c r="R1101" t="inlineStr">
        <is>
          <t xml:space="preserve">BF </t>
        </is>
      </c>
      <c r="S1101" t="n">
        <v>9</v>
      </c>
      <c r="T1101" t="n">
        <v>9</v>
      </c>
      <c r="U1101" t="inlineStr">
        <is>
          <t>2008-02-26</t>
        </is>
      </c>
      <c r="V1101" t="inlineStr">
        <is>
          <t>2008-02-26</t>
        </is>
      </c>
      <c r="W1101" t="inlineStr">
        <is>
          <t>1991-12-13</t>
        </is>
      </c>
      <c r="X1101" t="inlineStr">
        <is>
          <t>1991-12-13</t>
        </is>
      </c>
      <c r="Y1101" t="n">
        <v>797</v>
      </c>
      <c r="Z1101" t="n">
        <v>693</v>
      </c>
      <c r="AA1101" t="n">
        <v>706</v>
      </c>
      <c r="AB1101" t="n">
        <v>6</v>
      </c>
      <c r="AC1101" t="n">
        <v>6</v>
      </c>
      <c r="AD1101" t="n">
        <v>22</v>
      </c>
      <c r="AE1101" t="n">
        <v>22</v>
      </c>
      <c r="AF1101" t="n">
        <v>8</v>
      </c>
      <c r="AG1101" t="n">
        <v>8</v>
      </c>
      <c r="AH1101" t="n">
        <v>4</v>
      </c>
      <c r="AI1101" t="n">
        <v>4</v>
      </c>
      <c r="AJ1101" t="n">
        <v>10</v>
      </c>
      <c r="AK1101" t="n">
        <v>10</v>
      </c>
      <c r="AL1101" t="n">
        <v>4</v>
      </c>
      <c r="AM1101" t="n">
        <v>4</v>
      </c>
      <c r="AN1101" t="n">
        <v>0</v>
      </c>
      <c r="AO1101" t="n">
        <v>0</v>
      </c>
      <c r="AP1101" t="inlineStr">
        <is>
          <t>No</t>
        </is>
      </c>
      <c r="AQ1101" t="inlineStr">
        <is>
          <t>No</t>
        </is>
      </c>
      <c r="AS1101">
        <f>HYPERLINK("https://creighton-primo.hosted.exlibrisgroup.com/primo-explore/search?tab=default_tab&amp;search_scope=EVERYTHING&amp;vid=01CRU&amp;lang=en_US&amp;offset=0&amp;query=any,contains,991004513079702656","Catalog Record")</f>
        <v/>
      </c>
      <c r="AT1101">
        <f>HYPERLINK("http://www.worldcat.org/oclc/3772080","WorldCat Record")</f>
        <v/>
      </c>
      <c r="AU1101" t="inlineStr">
        <is>
          <t>399495:eng</t>
        </is>
      </c>
      <c r="AV1101" t="inlineStr">
        <is>
          <t>3772080</t>
        </is>
      </c>
      <c r="AW1101" t="inlineStr">
        <is>
          <t>991004513079702656</t>
        </is>
      </c>
      <c r="AX1101" t="inlineStr">
        <is>
          <t>991004513079702656</t>
        </is>
      </c>
      <c r="AY1101" t="inlineStr">
        <is>
          <t>2262475030002656</t>
        </is>
      </c>
      <c r="AZ1101" t="inlineStr">
        <is>
          <t>BOOK</t>
        </is>
      </c>
      <c r="BB1101" t="inlineStr">
        <is>
          <t>9780026935005</t>
        </is>
      </c>
      <c r="BC1101" t="inlineStr">
        <is>
          <t>32285000901099</t>
        </is>
      </c>
      <c r="BD1101" t="inlineStr">
        <is>
          <t>893411637</t>
        </is>
      </c>
    </row>
    <row r="1102">
      <c r="A1102" t="inlineStr">
        <is>
          <t>No</t>
        </is>
      </c>
      <c r="B1102" t="inlineStr">
        <is>
          <t>BF723.E6 E66 1982</t>
        </is>
      </c>
      <c r="C1102" t="inlineStr">
        <is>
          <t>0                      BF 0723000E  6                  E  66          1982</t>
        </is>
      </c>
      <c r="D1102" t="inlineStr">
        <is>
          <t>Emotional development / Dante Cicchetti, Petra Hesse, editors.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L1102" t="inlineStr">
        <is>
          <t>San Francisco, Calif. : Jossey-Bass, 1982.</t>
        </is>
      </c>
      <c r="M1102" t="inlineStr">
        <is>
          <t>1982</t>
        </is>
      </c>
      <c r="O1102" t="inlineStr">
        <is>
          <t>eng</t>
        </is>
      </c>
      <c r="P1102" t="inlineStr">
        <is>
          <t>cau</t>
        </is>
      </c>
      <c r="Q1102" t="inlineStr">
        <is>
          <t>New directions for child development, 0195-2269 ; no. 16</t>
        </is>
      </c>
      <c r="R1102" t="inlineStr">
        <is>
          <t xml:space="preserve">BF </t>
        </is>
      </c>
      <c r="S1102" t="n">
        <v>6</v>
      </c>
      <c r="T1102" t="n">
        <v>6</v>
      </c>
      <c r="U1102" t="inlineStr">
        <is>
          <t>2002-11-11</t>
        </is>
      </c>
      <c r="V1102" t="inlineStr">
        <is>
          <t>2002-11-11</t>
        </is>
      </c>
      <c r="W1102" t="inlineStr">
        <is>
          <t>1993-04-07</t>
        </is>
      </c>
      <c r="X1102" t="inlineStr">
        <is>
          <t>1993-04-07</t>
        </is>
      </c>
      <c r="Y1102" t="n">
        <v>320</v>
      </c>
      <c r="Z1102" t="n">
        <v>264</v>
      </c>
      <c r="AA1102" t="n">
        <v>268</v>
      </c>
      <c r="AB1102" t="n">
        <v>2</v>
      </c>
      <c r="AC1102" t="n">
        <v>2</v>
      </c>
      <c r="AD1102" t="n">
        <v>13</v>
      </c>
      <c r="AE1102" t="n">
        <v>13</v>
      </c>
      <c r="AF1102" t="n">
        <v>3</v>
      </c>
      <c r="AG1102" t="n">
        <v>3</v>
      </c>
      <c r="AH1102" t="n">
        <v>3</v>
      </c>
      <c r="AI1102" t="n">
        <v>3</v>
      </c>
      <c r="AJ1102" t="n">
        <v>10</v>
      </c>
      <c r="AK1102" t="n">
        <v>10</v>
      </c>
      <c r="AL1102" t="n">
        <v>1</v>
      </c>
      <c r="AM1102" t="n">
        <v>1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HYPERLINK("http://catalog.hathitrust.org/Record/000229448","HathiTrust Record")</f>
        <v/>
      </c>
      <c r="AS1102">
        <f>HYPERLINK("https://creighton-primo.hosted.exlibrisgroup.com/primo-explore/search?tab=default_tab&amp;search_scope=EVERYTHING&amp;vid=01CRU&amp;lang=en_US&amp;offset=0&amp;query=any,contains,991000057949702656","Catalog Record")</f>
        <v/>
      </c>
      <c r="AT1102">
        <f>HYPERLINK("http://www.worldcat.org/oclc/8712387","WorldCat Record")</f>
        <v/>
      </c>
      <c r="AU1102" t="inlineStr">
        <is>
          <t>355911206:eng</t>
        </is>
      </c>
      <c r="AV1102" t="inlineStr">
        <is>
          <t>8712387</t>
        </is>
      </c>
      <c r="AW1102" t="inlineStr">
        <is>
          <t>991000057949702656</t>
        </is>
      </c>
      <c r="AX1102" t="inlineStr">
        <is>
          <t>991000057949702656</t>
        </is>
      </c>
      <c r="AY1102" t="inlineStr">
        <is>
          <t>2271747480002656</t>
        </is>
      </c>
      <c r="AZ1102" t="inlineStr">
        <is>
          <t>BOOK</t>
        </is>
      </c>
      <c r="BB1102" t="inlineStr">
        <is>
          <t>9780875898766</t>
        </is>
      </c>
      <c r="BC1102" t="inlineStr">
        <is>
          <t>32285001604528</t>
        </is>
      </c>
      <c r="BD1102" t="inlineStr">
        <is>
          <t>893601413</t>
        </is>
      </c>
    </row>
    <row r="1103">
      <c r="A1103" t="inlineStr">
        <is>
          <t>No</t>
        </is>
      </c>
      <c r="B1103" t="inlineStr">
        <is>
          <t>BF723.E6 G74 1985</t>
        </is>
      </c>
      <c r="C1103" t="inlineStr">
        <is>
          <t>0                      BF 0723000E  6                  G  74          1985</t>
        </is>
      </c>
      <c r="D1103" t="inlineStr">
        <is>
          <t>First feelings : milestones in the emotional development of your baby and child / Stanley I. Greenspan and Nancy Thorndike Greenspan.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K1103" t="inlineStr">
        <is>
          <t>Greenspan, Stanley I.</t>
        </is>
      </c>
      <c r="L1103" t="inlineStr">
        <is>
          <t>New York : Viking, 1985.</t>
        </is>
      </c>
      <c r="M1103" t="inlineStr">
        <is>
          <t>1985</t>
        </is>
      </c>
      <c r="O1103" t="inlineStr">
        <is>
          <t>eng</t>
        </is>
      </c>
      <c r="P1103" t="inlineStr">
        <is>
          <t>nyu</t>
        </is>
      </c>
      <c r="R1103" t="inlineStr">
        <is>
          <t xml:space="preserve">BF </t>
        </is>
      </c>
      <c r="S1103" t="n">
        <v>6</v>
      </c>
      <c r="T1103" t="n">
        <v>6</v>
      </c>
      <c r="U1103" t="inlineStr">
        <is>
          <t>2001-03-11</t>
        </is>
      </c>
      <c r="V1103" t="inlineStr">
        <is>
          <t>2001-03-11</t>
        </is>
      </c>
      <c r="W1103" t="inlineStr">
        <is>
          <t>1993-04-07</t>
        </is>
      </c>
      <c r="X1103" t="inlineStr">
        <is>
          <t>1993-04-07</t>
        </is>
      </c>
      <c r="Y1103" t="n">
        <v>815</v>
      </c>
      <c r="Z1103" t="n">
        <v>773</v>
      </c>
      <c r="AA1103" t="n">
        <v>992</v>
      </c>
      <c r="AB1103" t="n">
        <v>7</v>
      </c>
      <c r="AC1103" t="n">
        <v>8</v>
      </c>
      <c r="AD1103" t="n">
        <v>16</v>
      </c>
      <c r="AE1103" t="n">
        <v>21</v>
      </c>
      <c r="AF1103" t="n">
        <v>8</v>
      </c>
      <c r="AG1103" t="n">
        <v>9</v>
      </c>
      <c r="AH1103" t="n">
        <v>0</v>
      </c>
      <c r="AI1103" t="n">
        <v>2</v>
      </c>
      <c r="AJ1103" t="n">
        <v>6</v>
      </c>
      <c r="AK1103" t="n">
        <v>9</v>
      </c>
      <c r="AL1103" t="n">
        <v>4</v>
      </c>
      <c r="AM1103" t="n">
        <v>5</v>
      </c>
      <c r="AN1103" t="n">
        <v>0</v>
      </c>
      <c r="AO1103" t="n">
        <v>0</v>
      </c>
      <c r="AP1103" t="inlineStr">
        <is>
          <t>No</t>
        </is>
      </c>
      <c r="AQ1103" t="inlineStr">
        <is>
          <t>Yes</t>
        </is>
      </c>
      <c r="AR1103">
        <f>HYPERLINK("http://catalog.hathitrust.org/Record/000344960","HathiTrust Record")</f>
        <v/>
      </c>
      <c r="AS1103">
        <f>HYPERLINK("https://creighton-primo.hosted.exlibrisgroup.com/primo-explore/search?tab=default_tab&amp;search_scope=EVERYTHING&amp;vid=01CRU&amp;lang=en_US&amp;offset=0&amp;query=any,contains,991000525869702656","Catalog Record")</f>
        <v/>
      </c>
      <c r="AT1103">
        <f>HYPERLINK("http://www.worldcat.org/oclc/11370596","WorldCat Record")</f>
        <v/>
      </c>
      <c r="AU1103" t="inlineStr">
        <is>
          <t>3884875:eng</t>
        </is>
      </c>
      <c r="AV1103" t="inlineStr">
        <is>
          <t>11370596</t>
        </is>
      </c>
      <c r="AW1103" t="inlineStr">
        <is>
          <t>991000525869702656</t>
        </is>
      </c>
      <c r="AX1103" t="inlineStr">
        <is>
          <t>991000525869702656</t>
        </is>
      </c>
      <c r="AY1103" t="inlineStr">
        <is>
          <t>2260059430002656</t>
        </is>
      </c>
      <c r="AZ1103" t="inlineStr">
        <is>
          <t>BOOK</t>
        </is>
      </c>
      <c r="BB1103" t="inlineStr">
        <is>
          <t>9780670803866</t>
        </is>
      </c>
      <c r="BC1103" t="inlineStr">
        <is>
          <t>32285001604536</t>
        </is>
      </c>
      <c r="BD1103" t="inlineStr">
        <is>
          <t>893231183</t>
        </is>
      </c>
    </row>
    <row r="1104">
      <c r="A1104" t="inlineStr">
        <is>
          <t>No</t>
        </is>
      </c>
      <c r="B1104" t="inlineStr">
        <is>
          <t>BF723.E6 L48 1983</t>
        </is>
      </c>
      <c r="C1104" t="inlineStr">
        <is>
          <t>0                      BF 0723000E  6                  L  48          1983</t>
        </is>
      </c>
      <c r="D1104" t="inlineStr">
        <is>
          <t>Children's emotions and moods : developmental theory and measurement / Michael Lewis and Linda Michalson.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K1104" t="inlineStr">
        <is>
          <t>Lewis, Michael, 1937 January 10-</t>
        </is>
      </c>
      <c r="L1104" t="inlineStr">
        <is>
          <t>New York : Plenum Press, c1983.</t>
        </is>
      </c>
      <c r="M1104" t="inlineStr">
        <is>
          <t>1983</t>
        </is>
      </c>
      <c r="O1104" t="inlineStr">
        <is>
          <t>eng</t>
        </is>
      </c>
      <c r="P1104" t="inlineStr">
        <is>
          <t>nyu</t>
        </is>
      </c>
      <c r="R1104" t="inlineStr">
        <is>
          <t xml:space="preserve">BF </t>
        </is>
      </c>
      <c r="S1104" t="n">
        <v>5</v>
      </c>
      <c r="T1104" t="n">
        <v>5</v>
      </c>
      <c r="U1104" t="inlineStr">
        <is>
          <t>2001-04-21</t>
        </is>
      </c>
      <c r="V1104" t="inlineStr">
        <is>
          <t>2001-04-21</t>
        </is>
      </c>
      <c r="W1104" t="inlineStr">
        <is>
          <t>1993-04-07</t>
        </is>
      </c>
      <c r="X1104" t="inlineStr">
        <is>
          <t>1993-04-07</t>
        </is>
      </c>
      <c r="Y1104" t="n">
        <v>850</v>
      </c>
      <c r="Z1104" t="n">
        <v>691</v>
      </c>
      <c r="AA1104" t="n">
        <v>703</v>
      </c>
      <c r="AB1104" t="n">
        <v>6</v>
      </c>
      <c r="AC1104" t="n">
        <v>6</v>
      </c>
      <c r="AD1104" t="n">
        <v>34</v>
      </c>
      <c r="AE1104" t="n">
        <v>34</v>
      </c>
      <c r="AF1104" t="n">
        <v>16</v>
      </c>
      <c r="AG1104" t="n">
        <v>16</v>
      </c>
      <c r="AH1104" t="n">
        <v>6</v>
      </c>
      <c r="AI1104" t="n">
        <v>6</v>
      </c>
      <c r="AJ1104" t="n">
        <v>14</v>
      </c>
      <c r="AK1104" t="n">
        <v>14</v>
      </c>
      <c r="AL1104" t="n">
        <v>5</v>
      </c>
      <c r="AM1104" t="n">
        <v>5</v>
      </c>
      <c r="AN1104" t="n">
        <v>0</v>
      </c>
      <c r="AO1104" t="n">
        <v>0</v>
      </c>
      <c r="AP1104" t="inlineStr">
        <is>
          <t>No</t>
        </is>
      </c>
      <c r="AQ1104" t="inlineStr">
        <is>
          <t>Yes</t>
        </is>
      </c>
      <c r="AR1104">
        <f>HYPERLINK("http://catalog.hathitrust.org/Record/000278043","HathiTrust Record")</f>
        <v/>
      </c>
      <c r="AS1104">
        <f>HYPERLINK("https://creighton-primo.hosted.exlibrisgroup.com/primo-explore/search?tab=default_tab&amp;search_scope=EVERYTHING&amp;vid=01CRU&amp;lang=en_US&amp;offset=0&amp;query=any,contains,991000164479702656","Catalog Record")</f>
        <v/>
      </c>
      <c r="AT1104">
        <f>HYPERLINK("http://www.worldcat.org/oclc/9282399","WorldCat Record")</f>
        <v/>
      </c>
      <c r="AU1104" t="inlineStr">
        <is>
          <t>180122226:eng</t>
        </is>
      </c>
      <c r="AV1104" t="inlineStr">
        <is>
          <t>9282399</t>
        </is>
      </c>
      <c r="AW1104" t="inlineStr">
        <is>
          <t>991000164479702656</t>
        </is>
      </c>
      <c r="AX1104" t="inlineStr">
        <is>
          <t>991000164479702656</t>
        </is>
      </c>
      <c r="AY1104" t="inlineStr">
        <is>
          <t>2259986710002656</t>
        </is>
      </c>
      <c r="AZ1104" t="inlineStr">
        <is>
          <t>BOOK</t>
        </is>
      </c>
      <c r="BB1104" t="inlineStr">
        <is>
          <t>9780306412097</t>
        </is>
      </c>
      <c r="BC1104" t="inlineStr">
        <is>
          <t>32285001604551</t>
        </is>
      </c>
      <c r="BD1104" t="inlineStr">
        <is>
          <t>893444231</t>
        </is>
      </c>
    </row>
    <row r="1105">
      <c r="A1105" t="inlineStr">
        <is>
          <t>No</t>
        </is>
      </c>
      <c r="B1105" t="inlineStr">
        <is>
          <t>BF723.F35 F374 1986</t>
        </is>
      </c>
      <c r="C1105" t="inlineStr">
        <is>
          <t>0                      BF 0723000F  35                 F  374         1986</t>
        </is>
      </c>
      <c r="D1105" t="inlineStr">
        <is>
          <t>The Father's role : applied perspectives / edited by Michael E. Lamb.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L1105" t="inlineStr">
        <is>
          <t>New York : J. Wiley, c1986.</t>
        </is>
      </c>
      <c r="M1105" t="inlineStr">
        <is>
          <t>1986</t>
        </is>
      </c>
      <c r="O1105" t="inlineStr">
        <is>
          <t>eng</t>
        </is>
      </c>
      <c r="P1105" t="inlineStr">
        <is>
          <t>nyu</t>
        </is>
      </c>
      <c r="Q1105" t="inlineStr">
        <is>
          <t>Wiley series on personality processes</t>
        </is>
      </c>
      <c r="R1105" t="inlineStr">
        <is>
          <t xml:space="preserve">BF </t>
        </is>
      </c>
      <c r="S1105" t="n">
        <v>11</v>
      </c>
      <c r="T1105" t="n">
        <v>11</v>
      </c>
      <c r="U1105" t="inlineStr">
        <is>
          <t>2005-10-13</t>
        </is>
      </c>
      <c r="V1105" t="inlineStr">
        <is>
          <t>2005-10-13</t>
        </is>
      </c>
      <c r="W1105" t="inlineStr">
        <is>
          <t>1993-04-07</t>
        </is>
      </c>
      <c r="X1105" t="inlineStr">
        <is>
          <t>1993-04-07</t>
        </is>
      </c>
      <c r="Y1105" t="n">
        <v>568</v>
      </c>
      <c r="Z1105" t="n">
        <v>460</v>
      </c>
      <c r="AA1105" t="n">
        <v>467</v>
      </c>
      <c r="AB1105" t="n">
        <v>5</v>
      </c>
      <c r="AC1105" t="n">
        <v>5</v>
      </c>
      <c r="AD1105" t="n">
        <v>24</v>
      </c>
      <c r="AE1105" t="n">
        <v>24</v>
      </c>
      <c r="AF1105" t="n">
        <v>9</v>
      </c>
      <c r="AG1105" t="n">
        <v>9</v>
      </c>
      <c r="AH1105" t="n">
        <v>5</v>
      </c>
      <c r="AI1105" t="n">
        <v>5</v>
      </c>
      <c r="AJ1105" t="n">
        <v>13</v>
      </c>
      <c r="AK1105" t="n">
        <v>13</v>
      </c>
      <c r="AL1105" t="n">
        <v>3</v>
      </c>
      <c r="AM1105" t="n">
        <v>3</v>
      </c>
      <c r="AN1105" t="n">
        <v>0</v>
      </c>
      <c r="AO1105" t="n">
        <v>0</v>
      </c>
      <c r="AP1105" t="inlineStr">
        <is>
          <t>No</t>
        </is>
      </c>
      <c r="AQ1105" t="inlineStr">
        <is>
          <t>Yes</t>
        </is>
      </c>
      <c r="AR1105">
        <f>HYPERLINK("http://catalog.hathitrust.org/Record/000439101","HathiTrust Record")</f>
        <v/>
      </c>
      <c r="AS1105">
        <f>HYPERLINK("https://creighton-primo.hosted.exlibrisgroup.com/primo-explore/search?tab=default_tab&amp;search_scope=EVERYTHING&amp;vid=01CRU&amp;lang=en_US&amp;offset=0&amp;query=any,contains,991000763589702656","Catalog Record")</f>
        <v/>
      </c>
      <c r="AT1105">
        <f>HYPERLINK("http://www.worldcat.org/oclc/12976196","WorldCat Record")</f>
        <v/>
      </c>
      <c r="AU1105" t="inlineStr">
        <is>
          <t>3857323932:eng</t>
        </is>
      </c>
      <c r="AV1105" t="inlineStr">
        <is>
          <t>12976196</t>
        </is>
      </c>
      <c r="AW1105" t="inlineStr">
        <is>
          <t>991000763589702656</t>
        </is>
      </c>
      <c r="AX1105" t="inlineStr">
        <is>
          <t>991000763589702656</t>
        </is>
      </c>
      <c r="AY1105" t="inlineStr">
        <is>
          <t>2264020350002656</t>
        </is>
      </c>
      <c r="AZ1105" t="inlineStr">
        <is>
          <t>BOOK</t>
        </is>
      </c>
      <c r="BB1105" t="inlineStr">
        <is>
          <t>9780471820468</t>
        </is>
      </c>
      <c r="BC1105" t="inlineStr">
        <is>
          <t>32285001604601</t>
        </is>
      </c>
      <c r="BD1105" t="inlineStr">
        <is>
          <t>893608257</t>
        </is>
      </c>
    </row>
    <row r="1106">
      <c r="A1106" t="inlineStr">
        <is>
          <t>No</t>
        </is>
      </c>
      <c r="B1106" t="inlineStr">
        <is>
          <t>BF723.G5 P79 1985</t>
        </is>
      </c>
      <c r="C1106" t="inlineStr">
        <is>
          <t>0                      BF 0723000G  5                  P  79          1985</t>
        </is>
      </c>
      <c r="D1106" t="inlineStr">
        <is>
          <t>The Psychology of gifted children : perspectives on development and education / edited by Joan Freeman.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L1106" t="inlineStr">
        <is>
          <t>Chichester [West Sussex] ; New York : Wiley, c1985.</t>
        </is>
      </c>
      <c r="M1106" t="inlineStr">
        <is>
          <t>1985</t>
        </is>
      </c>
      <c r="O1106" t="inlineStr">
        <is>
          <t>eng</t>
        </is>
      </c>
      <c r="P1106" t="inlineStr">
        <is>
          <t>enk</t>
        </is>
      </c>
      <c r="Q1106" t="inlineStr">
        <is>
          <t>Wiley series in developmental psychology and its applications</t>
        </is>
      </c>
      <c r="R1106" t="inlineStr">
        <is>
          <t xml:space="preserve">BF </t>
        </is>
      </c>
      <c r="S1106" t="n">
        <v>9</v>
      </c>
      <c r="T1106" t="n">
        <v>9</v>
      </c>
      <c r="U1106" t="inlineStr">
        <is>
          <t>2004-04-05</t>
        </is>
      </c>
      <c r="V1106" t="inlineStr">
        <is>
          <t>2004-04-05</t>
        </is>
      </c>
      <c r="W1106" t="inlineStr">
        <is>
          <t>1992-10-19</t>
        </is>
      </c>
      <c r="X1106" t="inlineStr">
        <is>
          <t>1992-10-19</t>
        </is>
      </c>
      <c r="Y1106" t="n">
        <v>837</v>
      </c>
      <c r="Z1106" t="n">
        <v>659</v>
      </c>
      <c r="AA1106" t="n">
        <v>668</v>
      </c>
      <c r="AB1106" t="n">
        <v>6</v>
      </c>
      <c r="AC1106" t="n">
        <v>6</v>
      </c>
      <c r="AD1106" t="n">
        <v>30</v>
      </c>
      <c r="AE1106" t="n">
        <v>30</v>
      </c>
      <c r="AF1106" t="n">
        <v>13</v>
      </c>
      <c r="AG1106" t="n">
        <v>13</v>
      </c>
      <c r="AH1106" t="n">
        <v>7</v>
      </c>
      <c r="AI1106" t="n">
        <v>7</v>
      </c>
      <c r="AJ1106" t="n">
        <v>14</v>
      </c>
      <c r="AK1106" t="n">
        <v>14</v>
      </c>
      <c r="AL1106" t="n">
        <v>5</v>
      </c>
      <c r="AM1106" t="n">
        <v>5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Yes</t>
        </is>
      </c>
      <c r="AR1106">
        <f>HYPERLINK("http://catalog.hathitrust.org/Record/000651942","HathiTrust Record")</f>
        <v/>
      </c>
      <c r="AS1106">
        <f>HYPERLINK("https://creighton-primo.hosted.exlibrisgroup.com/primo-explore/search?tab=default_tab&amp;search_scope=EVERYTHING&amp;vid=01CRU&amp;lang=en_US&amp;offset=0&amp;query=any,contains,991000485409702656","Catalog Record")</f>
        <v/>
      </c>
      <c r="AT1106">
        <f>HYPERLINK("http://www.worldcat.org/oclc/11069006","WorldCat Record")</f>
        <v/>
      </c>
      <c r="AU1106" t="inlineStr">
        <is>
          <t>889517376:eng</t>
        </is>
      </c>
      <c r="AV1106" t="inlineStr">
        <is>
          <t>11069006</t>
        </is>
      </c>
      <c r="AW1106" t="inlineStr">
        <is>
          <t>991000485409702656</t>
        </is>
      </c>
      <c r="AX1106" t="inlineStr">
        <is>
          <t>991000485409702656</t>
        </is>
      </c>
      <c r="AY1106" t="inlineStr">
        <is>
          <t>2260120750002656</t>
        </is>
      </c>
      <c r="AZ1106" t="inlineStr">
        <is>
          <t>BOOK</t>
        </is>
      </c>
      <c r="BB1106" t="inlineStr">
        <is>
          <t>9780471102557</t>
        </is>
      </c>
      <c r="BC1106" t="inlineStr">
        <is>
          <t>32285001350999</t>
        </is>
      </c>
      <c r="BD1106" t="inlineStr">
        <is>
          <t>893521705</t>
        </is>
      </c>
    </row>
    <row r="1107">
      <c r="A1107" t="inlineStr">
        <is>
          <t>No</t>
        </is>
      </c>
      <c r="B1107" t="inlineStr">
        <is>
          <t>BF723.G75 J48 1982</t>
        </is>
      </c>
      <c r="C1107" t="inlineStr">
        <is>
          <t>0                      BF 0723000G  75                 J  48          1982</t>
        </is>
      </c>
      <c r="D1107" t="inlineStr">
        <is>
          <t>Helping children cope with separation and loss / Claudia L. Jewett.</t>
        </is>
      </c>
      <c r="F1107" t="inlineStr">
        <is>
          <t>No</t>
        </is>
      </c>
      <c r="G1107" t="inlineStr">
        <is>
          <t>1</t>
        </is>
      </c>
      <c r="H1107" t="inlineStr">
        <is>
          <t>No</t>
        </is>
      </c>
      <c r="I1107" t="inlineStr">
        <is>
          <t>No</t>
        </is>
      </c>
      <c r="J1107" t="inlineStr">
        <is>
          <t>0</t>
        </is>
      </c>
      <c r="K1107" t="inlineStr">
        <is>
          <t>Jarratt, Claudia Jewett, 1939-</t>
        </is>
      </c>
      <c r="L1107" t="inlineStr">
        <is>
          <t>Harvard, Mass. : Harvard Common Press, c1982.</t>
        </is>
      </c>
      <c r="M1107" t="inlineStr">
        <is>
          <t>1982</t>
        </is>
      </c>
      <c r="O1107" t="inlineStr">
        <is>
          <t>eng</t>
        </is>
      </c>
      <c r="P1107" t="inlineStr">
        <is>
          <t>mau</t>
        </is>
      </c>
      <c r="R1107" t="inlineStr">
        <is>
          <t xml:space="preserve">BF </t>
        </is>
      </c>
      <c r="S1107" t="n">
        <v>9</v>
      </c>
      <c r="T1107" t="n">
        <v>9</v>
      </c>
      <c r="U1107" t="inlineStr">
        <is>
          <t>2004-10-26</t>
        </is>
      </c>
      <c r="V1107" t="inlineStr">
        <is>
          <t>2004-10-26</t>
        </is>
      </c>
      <c r="W1107" t="inlineStr">
        <is>
          <t>1992-03-30</t>
        </is>
      </c>
      <c r="X1107" t="inlineStr">
        <is>
          <t>1992-03-30</t>
        </is>
      </c>
      <c r="Y1107" t="n">
        <v>1221</v>
      </c>
      <c r="Z1107" t="n">
        <v>1139</v>
      </c>
      <c r="AA1107" t="n">
        <v>1438</v>
      </c>
      <c r="AB1107" t="n">
        <v>11</v>
      </c>
      <c r="AC1107" t="n">
        <v>15</v>
      </c>
      <c r="AD1107" t="n">
        <v>18</v>
      </c>
      <c r="AE1107" t="n">
        <v>24</v>
      </c>
      <c r="AF1107" t="n">
        <v>6</v>
      </c>
      <c r="AG1107" t="n">
        <v>9</v>
      </c>
      <c r="AH1107" t="n">
        <v>3</v>
      </c>
      <c r="AI1107" t="n">
        <v>4</v>
      </c>
      <c r="AJ1107" t="n">
        <v>7</v>
      </c>
      <c r="AK1107" t="n">
        <v>8</v>
      </c>
      <c r="AL1107" t="n">
        <v>6</v>
      </c>
      <c r="AM1107" t="n">
        <v>8</v>
      </c>
      <c r="AN1107" t="n">
        <v>0</v>
      </c>
      <c r="AO1107" t="n">
        <v>0</v>
      </c>
      <c r="AP1107" t="inlineStr">
        <is>
          <t>No</t>
        </is>
      </c>
      <c r="AQ1107" t="inlineStr">
        <is>
          <t>Yes</t>
        </is>
      </c>
      <c r="AR1107">
        <f>HYPERLINK("http://catalog.hathitrust.org/Record/000193283","HathiTrust Record")</f>
        <v/>
      </c>
      <c r="AS1107">
        <f>HYPERLINK("https://creighton-primo.hosted.exlibrisgroup.com/primo-explore/search?tab=default_tab&amp;search_scope=EVERYTHING&amp;vid=01CRU&amp;lang=en_US&amp;offset=0&amp;query=any,contains,991000029249702656","Catalog Record")</f>
        <v/>
      </c>
      <c r="AT1107">
        <f>HYPERLINK("http://www.worldcat.org/oclc/8591121","WorldCat Record")</f>
        <v/>
      </c>
      <c r="AU1107" t="inlineStr">
        <is>
          <t>3003734:eng</t>
        </is>
      </c>
      <c r="AV1107" t="inlineStr">
        <is>
          <t>8591121</t>
        </is>
      </c>
      <c r="AW1107" t="inlineStr">
        <is>
          <t>991000029249702656</t>
        </is>
      </c>
      <c r="AX1107" t="inlineStr">
        <is>
          <t>991000029249702656</t>
        </is>
      </c>
      <c r="AY1107" t="inlineStr">
        <is>
          <t>2269713300002656</t>
        </is>
      </c>
      <c r="AZ1107" t="inlineStr">
        <is>
          <t>BOOK</t>
        </is>
      </c>
      <c r="BB1107" t="inlineStr">
        <is>
          <t>9780916782283</t>
        </is>
      </c>
      <c r="BC1107" t="inlineStr">
        <is>
          <t>32285001050391</t>
        </is>
      </c>
      <c r="BD1107" t="inlineStr">
        <is>
          <t>893431609</t>
        </is>
      </c>
    </row>
    <row r="1108">
      <c r="A1108" t="inlineStr">
        <is>
          <t>No</t>
        </is>
      </c>
      <c r="B1108" t="inlineStr">
        <is>
          <t>BF723.I6 D39</t>
        </is>
      </c>
      <c r="C1108" t="inlineStr">
        <is>
          <t>0                      BF 0723000I  6                  D  39</t>
        </is>
      </c>
      <c r="D1108" t="inlineStr">
        <is>
          <t>Developmental psychobiology : the significance of infancy / edited by Lewis P. Lipsitt. --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L1108" t="inlineStr">
        <is>
          <t>Hillsdale, N.J. : L. Erlbaum Associates ; New York : distributed by Halsted Press, 1976.</t>
        </is>
      </c>
      <c r="M1108" t="inlineStr">
        <is>
          <t>1976</t>
        </is>
      </c>
      <c r="O1108" t="inlineStr">
        <is>
          <t>eng</t>
        </is>
      </c>
      <c r="P1108" t="inlineStr">
        <is>
          <t>nju</t>
        </is>
      </c>
      <c r="R1108" t="inlineStr">
        <is>
          <t xml:space="preserve">BF </t>
        </is>
      </c>
      <c r="S1108" t="n">
        <v>4</v>
      </c>
      <c r="T1108" t="n">
        <v>4</v>
      </c>
      <c r="U1108" t="inlineStr">
        <is>
          <t>2000-03-14</t>
        </is>
      </c>
      <c r="V1108" t="inlineStr">
        <is>
          <t>2000-03-14</t>
        </is>
      </c>
      <c r="W1108" t="inlineStr">
        <is>
          <t>1993-04-07</t>
        </is>
      </c>
      <c r="X1108" t="inlineStr">
        <is>
          <t>1993-04-07</t>
        </is>
      </c>
      <c r="Y1108" t="n">
        <v>431</v>
      </c>
      <c r="Z1108" t="n">
        <v>344</v>
      </c>
      <c r="AA1108" t="n">
        <v>351</v>
      </c>
      <c r="AB1108" t="n">
        <v>3</v>
      </c>
      <c r="AC1108" t="n">
        <v>3</v>
      </c>
      <c r="AD1108" t="n">
        <v>15</v>
      </c>
      <c r="AE1108" t="n">
        <v>15</v>
      </c>
      <c r="AF1108" t="n">
        <v>3</v>
      </c>
      <c r="AG1108" t="n">
        <v>3</v>
      </c>
      <c r="AH1108" t="n">
        <v>4</v>
      </c>
      <c r="AI1108" t="n">
        <v>4</v>
      </c>
      <c r="AJ1108" t="n">
        <v>9</v>
      </c>
      <c r="AK1108" t="n">
        <v>9</v>
      </c>
      <c r="AL1108" t="n">
        <v>2</v>
      </c>
      <c r="AM1108" t="n">
        <v>2</v>
      </c>
      <c r="AN1108" t="n">
        <v>0</v>
      </c>
      <c r="AO1108" t="n">
        <v>0</v>
      </c>
      <c r="AP1108" t="inlineStr">
        <is>
          <t>No</t>
        </is>
      </c>
      <c r="AQ1108" t="inlineStr">
        <is>
          <t>Yes</t>
        </is>
      </c>
      <c r="AR1108">
        <f>HYPERLINK("http://catalog.hathitrust.org/Record/000083593","HathiTrust Record")</f>
        <v/>
      </c>
      <c r="AS1108">
        <f>HYPERLINK("https://creighton-primo.hosted.exlibrisgroup.com/primo-explore/search?tab=default_tab&amp;search_scope=EVERYTHING&amp;vid=01CRU&amp;lang=en_US&amp;offset=0&amp;query=any,contains,991004147139702656","Catalog Record")</f>
        <v/>
      </c>
      <c r="AT1108">
        <f>HYPERLINK("http://www.worldcat.org/oclc/2513889","WorldCat Record")</f>
        <v/>
      </c>
      <c r="AU1108" t="inlineStr">
        <is>
          <t>689747894:eng</t>
        </is>
      </c>
      <c r="AV1108" t="inlineStr">
        <is>
          <t>2513889</t>
        </is>
      </c>
      <c r="AW1108" t="inlineStr">
        <is>
          <t>991004147139702656</t>
        </is>
      </c>
      <c r="AX1108" t="inlineStr">
        <is>
          <t>991004147139702656</t>
        </is>
      </c>
      <c r="AY1108" t="inlineStr">
        <is>
          <t>2270845500002656</t>
        </is>
      </c>
      <c r="AZ1108" t="inlineStr">
        <is>
          <t>BOOK</t>
        </is>
      </c>
      <c r="BB1108" t="inlineStr">
        <is>
          <t>9780470151273</t>
        </is>
      </c>
      <c r="BC1108" t="inlineStr">
        <is>
          <t>32285001604700</t>
        </is>
      </c>
      <c r="BD1108" t="inlineStr">
        <is>
          <t>893605682</t>
        </is>
      </c>
    </row>
    <row r="1109">
      <c r="A1109" t="inlineStr">
        <is>
          <t>No</t>
        </is>
      </c>
      <c r="B1109" t="inlineStr">
        <is>
          <t>BF723.I6 D86</t>
        </is>
      </c>
      <c r="C1109" t="inlineStr">
        <is>
          <t>0                      BF 0723000I  6                  D  86</t>
        </is>
      </c>
      <c r="D1109" t="inlineStr">
        <is>
          <t>Distress and comfort / Judy Dunn.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Dunn, Judy.</t>
        </is>
      </c>
      <c r="L1109" t="inlineStr">
        <is>
          <t>Cambridge, Mass. : Harvard University Press, 1977.</t>
        </is>
      </c>
      <c r="M1109" t="inlineStr">
        <is>
          <t>1977</t>
        </is>
      </c>
      <c r="O1109" t="inlineStr">
        <is>
          <t>eng</t>
        </is>
      </c>
      <c r="P1109" t="inlineStr">
        <is>
          <t>mau</t>
        </is>
      </c>
      <c r="Q1109" t="inlineStr">
        <is>
          <t>The Developing child</t>
        </is>
      </c>
      <c r="R1109" t="inlineStr">
        <is>
          <t xml:space="preserve">BF </t>
        </is>
      </c>
      <c r="S1109" t="n">
        <v>2</v>
      </c>
      <c r="T1109" t="n">
        <v>2</v>
      </c>
      <c r="U1109" t="inlineStr">
        <is>
          <t>2000-03-14</t>
        </is>
      </c>
      <c r="V1109" t="inlineStr">
        <is>
          <t>2000-03-14</t>
        </is>
      </c>
      <c r="W1109" t="inlineStr">
        <is>
          <t>1992-07-10</t>
        </is>
      </c>
      <c r="X1109" t="inlineStr">
        <is>
          <t>1992-07-10</t>
        </is>
      </c>
      <c r="Y1109" t="n">
        <v>995</v>
      </c>
      <c r="Z1109" t="n">
        <v>911</v>
      </c>
      <c r="AA1109" t="n">
        <v>931</v>
      </c>
      <c r="AB1109" t="n">
        <v>9</v>
      </c>
      <c r="AC1109" t="n">
        <v>9</v>
      </c>
      <c r="AD1109" t="n">
        <v>30</v>
      </c>
      <c r="AE1109" t="n">
        <v>30</v>
      </c>
      <c r="AF1109" t="n">
        <v>11</v>
      </c>
      <c r="AG1109" t="n">
        <v>11</v>
      </c>
      <c r="AH1109" t="n">
        <v>7</v>
      </c>
      <c r="AI1109" t="n">
        <v>7</v>
      </c>
      <c r="AJ1109" t="n">
        <v>14</v>
      </c>
      <c r="AK1109" t="n">
        <v>14</v>
      </c>
      <c r="AL1109" t="n">
        <v>5</v>
      </c>
      <c r="AM1109" t="n">
        <v>5</v>
      </c>
      <c r="AN1109" t="n">
        <v>0</v>
      </c>
      <c r="AO1109" t="n">
        <v>0</v>
      </c>
      <c r="AP1109" t="inlineStr">
        <is>
          <t>No</t>
        </is>
      </c>
      <c r="AQ1109" t="inlineStr">
        <is>
          <t>Yes</t>
        </is>
      </c>
      <c r="AR1109">
        <f>HYPERLINK("http://catalog.hathitrust.org/Record/000129892","HathiTrust Record")</f>
        <v/>
      </c>
      <c r="AS1109">
        <f>HYPERLINK("https://creighton-primo.hosted.exlibrisgroup.com/primo-explore/search?tab=default_tab&amp;search_scope=EVERYTHING&amp;vid=01CRU&amp;lang=en_US&amp;offset=0&amp;query=any,contains,991005264949702656","Catalog Record")</f>
        <v/>
      </c>
      <c r="AT1109">
        <f>HYPERLINK("http://www.worldcat.org/oclc/2645390","WorldCat Record")</f>
        <v/>
      </c>
      <c r="AU1109" t="inlineStr">
        <is>
          <t>18901727:eng</t>
        </is>
      </c>
      <c r="AV1109" t="inlineStr">
        <is>
          <t>2645390</t>
        </is>
      </c>
      <c r="AW1109" t="inlineStr">
        <is>
          <t>991005264949702656</t>
        </is>
      </c>
      <c r="AX1109" t="inlineStr">
        <is>
          <t>991005264949702656</t>
        </is>
      </c>
      <c r="AY1109" t="inlineStr">
        <is>
          <t>2256759280002656</t>
        </is>
      </c>
      <c r="AZ1109" t="inlineStr">
        <is>
          <t>BOOK</t>
        </is>
      </c>
      <c r="BB1109" t="inlineStr">
        <is>
          <t>9780674212848</t>
        </is>
      </c>
      <c r="BC1109" t="inlineStr">
        <is>
          <t>32285001151819</t>
        </is>
      </c>
      <c r="BD1109" t="inlineStr">
        <is>
          <t>893344930</t>
        </is>
      </c>
    </row>
    <row r="1110">
      <c r="A1110" t="inlineStr">
        <is>
          <t>No</t>
        </is>
      </c>
      <c r="B1110" t="inlineStr">
        <is>
          <t>BF723.I6 O74</t>
        </is>
      </c>
      <c r="C1110" t="inlineStr">
        <is>
          <t>0                      BF 0723000I  6                  O  74</t>
        </is>
      </c>
      <c r="D1110" t="inlineStr">
        <is>
          <t>Origins of the infant's social responsiveness / edited by Evelyn B. Thoman.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L1110" t="inlineStr">
        <is>
          <t>Hillsdale, N.J. : L. Erlbaum Associates ; New York ; distributed by the Halsted Press Division of Wiley, 1979.</t>
        </is>
      </c>
      <c r="M1110" t="inlineStr">
        <is>
          <t>1979</t>
        </is>
      </c>
      <c r="O1110" t="inlineStr">
        <is>
          <t>eng</t>
        </is>
      </c>
      <c r="P1110" t="inlineStr">
        <is>
          <t>nju</t>
        </is>
      </c>
      <c r="Q1110" t="inlineStr">
        <is>
          <t>The Johnson &amp; Johnson Baby Products pediatric round table ; v. 1</t>
        </is>
      </c>
      <c r="R1110" t="inlineStr">
        <is>
          <t xml:space="preserve">BF </t>
        </is>
      </c>
      <c r="S1110" t="n">
        <v>2</v>
      </c>
      <c r="T1110" t="n">
        <v>2</v>
      </c>
      <c r="U1110" t="inlineStr">
        <is>
          <t>2008-02-07</t>
        </is>
      </c>
      <c r="V1110" t="inlineStr">
        <is>
          <t>2008-02-07</t>
        </is>
      </c>
      <c r="W1110" t="inlineStr">
        <is>
          <t>1993-04-07</t>
        </is>
      </c>
      <c r="X1110" t="inlineStr">
        <is>
          <t>1993-04-07</t>
        </is>
      </c>
      <c r="Y1110" t="n">
        <v>423</v>
      </c>
      <c r="Z1110" t="n">
        <v>329</v>
      </c>
      <c r="AA1110" t="n">
        <v>335</v>
      </c>
      <c r="AB1110" t="n">
        <v>3</v>
      </c>
      <c r="AC1110" t="n">
        <v>3</v>
      </c>
      <c r="AD1110" t="n">
        <v>19</v>
      </c>
      <c r="AE1110" t="n">
        <v>19</v>
      </c>
      <c r="AF1110" t="n">
        <v>8</v>
      </c>
      <c r="AG1110" t="n">
        <v>8</v>
      </c>
      <c r="AH1110" t="n">
        <v>4</v>
      </c>
      <c r="AI1110" t="n">
        <v>4</v>
      </c>
      <c r="AJ1110" t="n">
        <v>10</v>
      </c>
      <c r="AK1110" t="n">
        <v>10</v>
      </c>
      <c r="AL1110" t="n">
        <v>1</v>
      </c>
      <c r="AM1110" t="n">
        <v>1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Yes</t>
        </is>
      </c>
      <c r="AR1110">
        <f>HYPERLINK("http://catalog.hathitrust.org/Record/000710979","HathiTrust Record")</f>
        <v/>
      </c>
      <c r="AS1110">
        <f>HYPERLINK("https://creighton-primo.hosted.exlibrisgroup.com/primo-explore/search?tab=default_tab&amp;search_scope=EVERYTHING&amp;vid=01CRU&amp;lang=en_US&amp;offset=0&amp;query=any,contains,991004792019702656","Catalog Record")</f>
        <v/>
      </c>
      <c r="AT1110">
        <f>HYPERLINK("http://www.worldcat.org/oclc/5171468","WorldCat Record")</f>
        <v/>
      </c>
      <c r="AU1110" t="inlineStr">
        <is>
          <t>5614632607:eng</t>
        </is>
      </c>
      <c r="AV1110" t="inlineStr">
        <is>
          <t>5171468</t>
        </is>
      </c>
      <c r="AW1110" t="inlineStr">
        <is>
          <t>991004792019702656</t>
        </is>
      </c>
      <c r="AX1110" t="inlineStr">
        <is>
          <t>991004792019702656</t>
        </is>
      </c>
      <c r="AY1110" t="inlineStr">
        <is>
          <t>2259153980002656</t>
        </is>
      </c>
      <c r="AZ1110" t="inlineStr">
        <is>
          <t>BOOK</t>
        </is>
      </c>
      <c r="BB1110" t="inlineStr">
        <is>
          <t>9780470268131</t>
        </is>
      </c>
      <c r="BC1110" t="inlineStr">
        <is>
          <t>32285001604734</t>
        </is>
      </c>
      <c r="BD1110" t="inlineStr">
        <is>
          <t>893325792</t>
        </is>
      </c>
    </row>
    <row r="1111">
      <c r="A1111" t="inlineStr">
        <is>
          <t>No</t>
        </is>
      </c>
      <c r="B1111" t="inlineStr">
        <is>
          <t>BF723.I6 S66</t>
        </is>
      </c>
      <c r="C1111" t="inlineStr">
        <is>
          <t>0                      BF 0723000I  6                  S  66</t>
        </is>
      </c>
      <c r="D1111" t="inlineStr">
        <is>
          <t>The first relationship : mother and infant / Daniel Stern.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K1111" t="inlineStr">
        <is>
          <t>Stern, Daniel N.</t>
        </is>
      </c>
      <c r="L1111" t="inlineStr">
        <is>
          <t>Cambridge : Harvard University Press, 1977.</t>
        </is>
      </c>
      <c r="M1111" t="inlineStr">
        <is>
          <t>1977</t>
        </is>
      </c>
      <c r="O1111" t="inlineStr">
        <is>
          <t>eng</t>
        </is>
      </c>
      <c r="P1111" t="inlineStr">
        <is>
          <t>mau</t>
        </is>
      </c>
      <c r="Q1111" t="inlineStr">
        <is>
          <t>The Developing child</t>
        </is>
      </c>
      <c r="R1111" t="inlineStr">
        <is>
          <t xml:space="preserve">BF </t>
        </is>
      </c>
      <c r="S1111" t="n">
        <v>12</v>
      </c>
      <c r="T1111" t="n">
        <v>12</v>
      </c>
      <c r="U1111" t="inlineStr">
        <is>
          <t>2002-10-21</t>
        </is>
      </c>
      <c r="V1111" t="inlineStr">
        <is>
          <t>2002-10-21</t>
        </is>
      </c>
      <c r="W1111" t="inlineStr">
        <is>
          <t>1992-11-04</t>
        </is>
      </c>
      <c r="X1111" t="inlineStr">
        <is>
          <t>1992-11-04</t>
        </is>
      </c>
      <c r="Y1111" t="n">
        <v>896</v>
      </c>
      <c r="Z1111" t="n">
        <v>810</v>
      </c>
      <c r="AA1111" t="n">
        <v>813</v>
      </c>
      <c r="AB1111" t="n">
        <v>9</v>
      </c>
      <c r="AC1111" t="n">
        <v>9</v>
      </c>
      <c r="AD1111" t="n">
        <v>28</v>
      </c>
      <c r="AE1111" t="n">
        <v>28</v>
      </c>
      <c r="AF1111" t="n">
        <v>9</v>
      </c>
      <c r="AG1111" t="n">
        <v>9</v>
      </c>
      <c r="AH1111" t="n">
        <v>10</v>
      </c>
      <c r="AI1111" t="n">
        <v>10</v>
      </c>
      <c r="AJ1111" t="n">
        <v>12</v>
      </c>
      <c r="AK1111" t="n">
        <v>12</v>
      </c>
      <c r="AL1111" t="n">
        <v>5</v>
      </c>
      <c r="AM1111" t="n">
        <v>5</v>
      </c>
      <c r="AN1111" t="n">
        <v>0</v>
      </c>
      <c r="AO1111" t="n">
        <v>0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HYPERLINK("http://catalog.hathitrust.org/Record/000042749","HathiTrust Record")</f>
        <v/>
      </c>
      <c r="AS1111">
        <f>HYPERLINK("https://creighton-primo.hosted.exlibrisgroup.com/primo-explore/search?tab=default_tab&amp;search_scope=EVERYTHING&amp;vid=01CRU&amp;lang=en_US&amp;offset=0&amp;query=any,contains,991005265069702656","Catalog Record")</f>
        <v/>
      </c>
      <c r="AT1111">
        <f>HYPERLINK("http://www.worldcat.org/oclc/2929304","WorldCat Record")</f>
        <v/>
      </c>
      <c r="AU1111" t="inlineStr">
        <is>
          <t>3901335025:eng</t>
        </is>
      </c>
      <c r="AV1111" t="inlineStr">
        <is>
          <t>2929304</t>
        </is>
      </c>
      <c r="AW1111" t="inlineStr">
        <is>
          <t>991005265069702656</t>
        </is>
      </c>
      <c r="AX1111" t="inlineStr">
        <is>
          <t>991005265069702656</t>
        </is>
      </c>
      <c r="AY1111" t="inlineStr">
        <is>
          <t>2267685290002656</t>
        </is>
      </c>
      <c r="AZ1111" t="inlineStr">
        <is>
          <t>BOOK</t>
        </is>
      </c>
      <c r="BB1111" t="inlineStr">
        <is>
          <t>9780674304314</t>
        </is>
      </c>
      <c r="BC1111" t="inlineStr">
        <is>
          <t>32285001380731</t>
        </is>
      </c>
      <c r="BD1111" t="inlineStr">
        <is>
          <t>893870789</t>
        </is>
      </c>
    </row>
    <row r="1112">
      <c r="A1112" t="inlineStr">
        <is>
          <t>No</t>
        </is>
      </c>
      <c r="B1112" t="inlineStr">
        <is>
          <t>BF723.I6 S69 1977</t>
        </is>
      </c>
      <c r="C1112" t="inlineStr">
        <is>
          <t>0                      BF 0723000I  6                  S  69          1977</t>
        </is>
      </c>
      <c r="D1112" t="inlineStr">
        <is>
          <t>Studies in mother-infant interaction : proceedings of the Loch Lomond symposium, Ross Priory, University of Strathclyde, September, 1975 / edited by H. R. Schaffer.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L1112" t="inlineStr">
        <is>
          <t>London ; New York : Academic Press, 1977.</t>
        </is>
      </c>
      <c r="M1112" t="inlineStr">
        <is>
          <t>1977</t>
        </is>
      </c>
      <c r="O1112" t="inlineStr">
        <is>
          <t>eng</t>
        </is>
      </c>
      <c r="P1112" t="inlineStr">
        <is>
          <t>enk</t>
        </is>
      </c>
      <c r="R1112" t="inlineStr">
        <is>
          <t xml:space="preserve">BF </t>
        </is>
      </c>
      <c r="S1112" t="n">
        <v>1</v>
      </c>
      <c r="T1112" t="n">
        <v>1</v>
      </c>
      <c r="U1112" t="inlineStr">
        <is>
          <t>2001-03-19</t>
        </is>
      </c>
      <c r="V1112" t="inlineStr">
        <is>
          <t>2001-03-19</t>
        </is>
      </c>
      <c r="W1112" t="inlineStr">
        <is>
          <t>1996-08-06</t>
        </is>
      </c>
      <c r="X1112" t="inlineStr">
        <is>
          <t>1996-08-06</t>
        </is>
      </c>
      <c r="Y1112" t="n">
        <v>519</v>
      </c>
      <c r="Z1112" t="n">
        <v>347</v>
      </c>
      <c r="AA1112" t="n">
        <v>354</v>
      </c>
      <c r="AB1112" t="n">
        <v>3</v>
      </c>
      <c r="AC1112" t="n">
        <v>3</v>
      </c>
      <c r="AD1112" t="n">
        <v>11</v>
      </c>
      <c r="AE1112" t="n">
        <v>11</v>
      </c>
      <c r="AF1112" t="n">
        <v>4</v>
      </c>
      <c r="AG1112" t="n">
        <v>4</v>
      </c>
      <c r="AH1112" t="n">
        <v>2</v>
      </c>
      <c r="AI1112" t="n">
        <v>2</v>
      </c>
      <c r="AJ1112" t="n">
        <v>5</v>
      </c>
      <c r="AK1112" t="n">
        <v>5</v>
      </c>
      <c r="AL1112" t="n">
        <v>1</v>
      </c>
      <c r="AM1112" t="n">
        <v>1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Yes</t>
        </is>
      </c>
      <c r="AR1112">
        <f>HYPERLINK("http://catalog.hathitrust.org/Record/000138543","HathiTrust Record")</f>
        <v/>
      </c>
      <c r="AS1112">
        <f>HYPERLINK("https://creighton-primo.hosted.exlibrisgroup.com/primo-explore/search?tab=default_tab&amp;search_scope=EVERYTHING&amp;vid=01CRU&amp;lang=en_US&amp;offset=0&amp;query=any,contains,991004395649702656","Catalog Record")</f>
        <v/>
      </c>
      <c r="AT1112">
        <f>HYPERLINK("http://www.worldcat.org/oclc/3277288","WorldCat Record")</f>
        <v/>
      </c>
      <c r="AU1112" t="inlineStr">
        <is>
          <t>821920198:eng</t>
        </is>
      </c>
      <c r="AV1112" t="inlineStr">
        <is>
          <t>3277288</t>
        </is>
      </c>
      <c r="AW1112" t="inlineStr">
        <is>
          <t>991004395649702656</t>
        </is>
      </c>
      <c r="AX1112" t="inlineStr">
        <is>
          <t>991004395649702656</t>
        </is>
      </c>
      <c r="AY1112" t="inlineStr">
        <is>
          <t>2255401900002656</t>
        </is>
      </c>
      <c r="AZ1112" t="inlineStr">
        <is>
          <t>BOOK</t>
        </is>
      </c>
      <c r="BB1112" t="inlineStr">
        <is>
          <t>9780126225600</t>
        </is>
      </c>
      <c r="BC1112" t="inlineStr">
        <is>
          <t>32285002256401</t>
        </is>
      </c>
      <c r="BD1112" t="inlineStr">
        <is>
          <t>893241370</t>
        </is>
      </c>
    </row>
    <row r="1113">
      <c r="A1113" t="inlineStr">
        <is>
          <t>No</t>
        </is>
      </c>
      <c r="B1113" t="inlineStr">
        <is>
          <t>BF723.I6 W5</t>
        </is>
      </c>
      <c r="C1113" t="inlineStr">
        <is>
          <t>0                      BF 0723000I  6                  W  5</t>
        </is>
      </c>
      <c r="D1113" t="inlineStr">
        <is>
          <t>Understanding infancy / Eleanor Willemsen with the assistance of Louise Nicholson.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Willemsen, Eleanor Walker, 1938-</t>
        </is>
      </c>
      <c r="L1113" t="inlineStr">
        <is>
          <t>San Francisco : Freeman, c1979.</t>
        </is>
      </c>
      <c r="M1113" t="inlineStr">
        <is>
          <t>1979</t>
        </is>
      </c>
      <c r="O1113" t="inlineStr">
        <is>
          <t>eng</t>
        </is>
      </c>
      <c r="P1113" t="inlineStr">
        <is>
          <t>cau</t>
        </is>
      </c>
      <c r="Q1113" t="inlineStr">
        <is>
          <t>A Series of books in psychology</t>
        </is>
      </c>
      <c r="R1113" t="inlineStr">
        <is>
          <t xml:space="preserve">BF </t>
        </is>
      </c>
      <c r="S1113" t="n">
        <v>6</v>
      </c>
      <c r="T1113" t="n">
        <v>6</v>
      </c>
      <c r="U1113" t="inlineStr">
        <is>
          <t>2000-03-06</t>
        </is>
      </c>
      <c r="V1113" t="inlineStr">
        <is>
          <t>2000-03-06</t>
        </is>
      </c>
      <c r="W1113" t="inlineStr">
        <is>
          <t>1993-04-07</t>
        </is>
      </c>
      <c r="X1113" t="inlineStr">
        <is>
          <t>1993-04-07</t>
        </is>
      </c>
      <c r="Y1113" t="n">
        <v>541</v>
      </c>
      <c r="Z1113" t="n">
        <v>416</v>
      </c>
      <c r="AA1113" t="n">
        <v>416</v>
      </c>
      <c r="AB1113" t="n">
        <v>4</v>
      </c>
      <c r="AC1113" t="n">
        <v>4</v>
      </c>
      <c r="AD1113" t="n">
        <v>14</v>
      </c>
      <c r="AE1113" t="n">
        <v>14</v>
      </c>
      <c r="AF1113" t="n">
        <v>3</v>
      </c>
      <c r="AG1113" t="n">
        <v>3</v>
      </c>
      <c r="AH1113" t="n">
        <v>4</v>
      </c>
      <c r="AI1113" t="n">
        <v>4</v>
      </c>
      <c r="AJ1113" t="n">
        <v>8</v>
      </c>
      <c r="AK1113" t="n">
        <v>8</v>
      </c>
      <c r="AL1113" t="n">
        <v>3</v>
      </c>
      <c r="AM1113" t="n">
        <v>3</v>
      </c>
      <c r="AN1113" t="n">
        <v>0</v>
      </c>
      <c r="AO1113" t="n">
        <v>0</v>
      </c>
      <c r="AP1113" t="inlineStr">
        <is>
          <t>No</t>
        </is>
      </c>
      <c r="AQ1113" t="inlineStr">
        <is>
          <t>No</t>
        </is>
      </c>
      <c r="AS1113">
        <f>HYPERLINK("https://creighton-primo.hosted.exlibrisgroup.com/primo-explore/search?tab=default_tab&amp;search_scope=EVERYTHING&amp;vid=01CRU&amp;lang=en_US&amp;offset=0&amp;query=any,contains,991004654689702656","Catalog Record")</f>
        <v/>
      </c>
      <c r="AT1113">
        <f>HYPERLINK("http://www.worldcat.org/oclc/4494966","WorldCat Record")</f>
        <v/>
      </c>
      <c r="AU1113" t="inlineStr">
        <is>
          <t>447125:eng</t>
        </is>
      </c>
      <c r="AV1113" t="inlineStr">
        <is>
          <t>4494966</t>
        </is>
      </c>
      <c r="AW1113" t="inlineStr">
        <is>
          <t>991004654689702656</t>
        </is>
      </c>
      <c r="AX1113" t="inlineStr">
        <is>
          <t>991004654689702656</t>
        </is>
      </c>
      <c r="AY1113" t="inlineStr">
        <is>
          <t>2265460590002656</t>
        </is>
      </c>
      <c r="AZ1113" t="inlineStr">
        <is>
          <t>BOOK</t>
        </is>
      </c>
      <c r="BB1113" t="inlineStr">
        <is>
          <t>9780716710011</t>
        </is>
      </c>
      <c r="BC1113" t="inlineStr">
        <is>
          <t>32285001604759</t>
        </is>
      </c>
      <c r="BD1113" t="inlineStr">
        <is>
          <t>893526358</t>
        </is>
      </c>
    </row>
    <row r="1114">
      <c r="A1114" t="inlineStr">
        <is>
          <t>No</t>
        </is>
      </c>
      <c r="B1114" t="inlineStr">
        <is>
          <t>BF723.I6 Y37</t>
        </is>
      </c>
      <c r="C1114" t="inlineStr">
        <is>
          <t>0                      BF 0723000I  6                  Y  37</t>
        </is>
      </c>
      <c r="D1114" t="inlineStr">
        <is>
          <t>Infant and environment : early cognitive and motivational development / Leon J. Yarrow, Judith L. Rubenstein, Frank A. Pedersen ; collaborators, Joseph J. Jankowski, Joan T. Durfee, Myrna W. Fivel.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K1114" t="inlineStr">
        <is>
          <t>Yarrow, Leon J.</t>
        </is>
      </c>
      <c r="L1114" t="inlineStr">
        <is>
          <t>Washington : Hemisphere Pub. Corp. ; New York : distributed solely by Halsted Press, [1975]</t>
        </is>
      </c>
      <c r="M1114" t="inlineStr">
        <is>
          <t>1975</t>
        </is>
      </c>
      <c r="O1114" t="inlineStr">
        <is>
          <t>eng</t>
        </is>
      </c>
      <c r="P1114" t="inlineStr">
        <is>
          <t>dcu</t>
        </is>
      </c>
      <c r="R1114" t="inlineStr">
        <is>
          <t xml:space="preserve">BF </t>
        </is>
      </c>
      <c r="S1114" t="n">
        <v>3</v>
      </c>
      <c r="T1114" t="n">
        <v>3</v>
      </c>
      <c r="U1114" t="inlineStr">
        <is>
          <t>2002-03-05</t>
        </is>
      </c>
      <c r="V1114" t="inlineStr">
        <is>
          <t>2002-03-05</t>
        </is>
      </c>
      <c r="W1114" t="inlineStr">
        <is>
          <t>1996-08-06</t>
        </is>
      </c>
      <c r="X1114" t="inlineStr">
        <is>
          <t>1996-08-06</t>
        </is>
      </c>
      <c r="Y1114" t="n">
        <v>462</v>
      </c>
      <c r="Z1114" t="n">
        <v>349</v>
      </c>
      <c r="AA1114" t="n">
        <v>352</v>
      </c>
      <c r="AB1114" t="n">
        <v>3</v>
      </c>
      <c r="AC1114" t="n">
        <v>3</v>
      </c>
      <c r="AD1114" t="n">
        <v>9</v>
      </c>
      <c r="AE1114" t="n">
        <v>9</v>
      </c>
      <c r="AF1114" t="n">
        <v>3</v>
      </c>
      <c r="AG1114" t="n">
        <v>3</v>
      </c>
      <c r="AH1114" t="n">
        <v>2</v>
      </c>
      <c r="AI1114" t="n">
        <v>2</v>
      </c>
      <c r="AJ1114" t="n">
        <v>6</v>
      </c>
      <c r="AK1114" t="n">
        <v>6</v>
      </c>
      <c r="AL1114" t="n">
        <v>1</v>
      </c>
      <c r="AM1114" t="n">
        <v>1</v>
      </c>
      <c r="AN1114" t="n">
        <v>0</v>
      </c>
      <c r="AO1114" t="n">
        <v>0</v>
      </c>
      <c r="AP1114" t="inlineStr">
        <is>
          <t>No</t>
        </is>
      </c>
      <c r="AQ1114" t="inlineStr">
        <is>
          <t>Yes</t>
        </is>
      </c>
      <c r="AR1114">
        <f>HYPERLINK("http://catalog.hathitrust.org/Record/000031180","HathiTrust Record")</f>
        <v/>
      </c>
      <c r="AS1114">
        <f>HYPERLINK("https://creighton-primo.hosted.exlibrisgroup.com/primo-explore/search?tab=default_tab&amp;search_scope=EVERYTHING&amp;vid=01CRU&amp;lang=en_US&amp;offset=0&amp;query=any,contains,991003532679702656","Catalog Record")</f>
        <v/>
      </c>
      <c r="AT1114">
        <f>HYPERLINK("http://www.worldcat.org/oclc/1094979","WorldCat Record")</f>
        <v/>
      </c>
      <c r="AU1114" t="inlineStr">
        <is>
          <t>180996:eng</t>
        </is>
      </c>
      <c r="AV1114" t="inlineStr">
        <is>
          <t>1094979</t>
        </is>
      </c>
      <c r="AW1114" t="inlineStr">
        <is>
          <t>991003532679702656</t>
        </is>
      </c>
      <c r="AX1114" t="inlineStr">
        <is>
          <t>991003532679702656</t>
        </is>
      </c>
      <c r="AY1114" t="inlineStr">
        <is>
          <t>2265211820002656</t>
        </is>
      </c>
      <c r="AZ1114" t="inlineStr">
        <is>
          <t>BOOK</t>
        </is>
      </c>
      <c r="BB1114" t="inlineStr">
        <is>
          <t>9780470971789</t>
        </is>
      </c>
      <c r="BC1114" t="inlineStr">
        <is>
          <t>32285002256443</t>
        </is>
      </c>
      <c r="BD1114" t="inlineStr">
        <is>
          <t>893774848</t>
        </is>
      </c>
    </row>
    <row r="1115">
      <c r="A1115" t="inlineStr">
        <is>
          <t>No</t>
        </is>
      </c>
      <c r="B1115" t="inlineStr">
        <is>
          <t>BF723.I63 C37 1992</t>
        </is>
      </c>
      <c r="C1115" t="inlineStr">
        <is>
          <t>0                      BF 0723000I  63                 C  37          1992</t>
        </is>
      </c>
      <c r="D1115" t="inlineStr">
        <is>
          <t>The mind's staircase : exploring the conceptual underpinnings of children's thought and knowledge / Robbie Case in collaboration with Marta Bruchkowsky ... [et al.].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K1115" t="inlineStr">
        <is>
          <t>Case, Robbie.</t>
        </is>
      </c>
      <c r="L1115" t="inlineStr">
        <is>
          <t>Hillsdale, N.J. : L. Erlbaum Associates, 1992, c1991.</t>
        </is>
      </c>
      <c r="M1115" t="inlineStr">
        <is>
          <t>1992</t>
        </is>
      </c>
      <c r="O1115" t="inlineStr">
        <is>
          <t>eng</t>
        </is>
      </c>
      <c r="P1115" t="inlineStr">
        <is>
          <t>nju</t>
        </is>
      </c>
      <c r="R1115" t="inlineStr">
        <is>
          <t xml:space="preserve">BF </t>
        </is>
      </c>
      <c r="S1115" t="n">
        <v>6</v>
      </c>
      <c r="T1115" t="n">
        <v>6</v>
      </c>
      <c r="U1115" t="inlineStr">
        <is>
          <t>2007-11-01</t>
        </is>
      </c>
      <c r="V1115" t="inlineStr">
        <is>
          <t>2007-11-01</t>
        </is>
      </c>
      <c r="W1115" t="inlineStr">
        <is>
          <t>2000-10-30</t>
        </is>
      </c>
      <c r="X1115" t="inlineStr">
        <is>
          <t>2000-10-30</t>
        </is>
      </c>
      <c r="Y1115" t="n">
        <v>446</v>
      </c>
      <c r="Z1115" t="n">
        <v>363</v>
      </c>
      <c r="AA1115" t="n">
        <v>408</v>
      </c>
      <c r="AB1115" t="n">
        <v>3</v>
      </c>
      <c r="AC1115" t="n">
        <v>3</v>
      </c>
      <c r="AD1115" t="n">
        <v>18</v>
      </c>
      <c r="AE1115" t="n">
        <v>19</v>
      </c>
      <c r="AF1115" t="n">
        <v>6</v>
      </c>
      <c r="AG1115" t="n">
        <v>7</v>
      </c>
      <c r="AH1115" t="n">
        <v>4</v>
      </c>
      <c r="AI1115" t="n">
        <v>4</v>
      </c>
      <c r="AJ1115" t="n">
        <v>11</v>
      </c>
      <c r="AK1115" t="n">
        <v>12</v>
      </c>
      <c r="AL1115" t="n">
        <v>2</v>
      </c>
      <c r="AM1115" t="n">
        <v>2</v>
      </c>
      <c r="AN1115" t="n">
        <v>0</v>
      </c>
      <c r="AO1115" t="n">
        <v>0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HYPERLINK("http://catalog.hathitrust.org/Record/002521882","HathiTrust Record")</f>
        <v/>
      </c>
      <c r="AS1115">
        <f>HYPERLINK("https://creighton-primo.hosted.exlibrisgroup.com/primo-explore/search?tab=default_tab&amp;search_scope=EVERYTHING&amp;vid=01CRU&amp;lang=en_US&amp;offset=0&amp;query=any,contains,991003261969702656","Catalog Record")</f>
        <v/>
      </c>
      <c r="AT1115">
        <f>HYPERLINK("http://www.worldcat.org/oclc/24067021","WorldCat Record")</f>
        <v/>
      </c>
      <c r="AU1115" t="inlineStr">
        <is>
          <t>795632098:eng</t>
        </is>
      </c>
      <c r="AV1115" t="inlineStr">
        <is>
          <t>24067021</t>
        </is>
      </c>
      <c r="AW1115" t="inlineStr">
        <is>
          <t>991003261969702656</t>
        </is>
      </c>
      <c r="AX1115" t="inlineStr">
        <is>
          <t>991003261969702656</t>
        </is>
      </c>
      <c r="AY1115" t="inlineStr">
        <is>
          <t>2261079020002656</t>
        </is>
      </c>
      <c r="AZ1115" t="inlineStr">
        <is>
          <t>BOOK</t>
        </is>
      </c>
      <c r="BB1115" t="inlineStr">
        <is>
          <t>9780805803242</t>
        </is>
      </c>
      <c r="BC1115" t="inlineStr">
        <is>
          <t>32285004261557</t>
        </is>
      </c>
      <c r="BD1115" t="inlineStr">
        <is>
          <t>893531018</t>
        </is>
      </c>
    </row>
    <row r="1116">
      <c r="A1116" t="inlineStr">
        <is>
          <t>No</t>
        </is>
      </c>
      <c r="B1116" t="inlineStr">
        <is>
          <t>BF723.I63 K58 1976</t>
        </is>
      </c>
      <c r="C1116" t="inlineStr">
        <is>
          <t>0                      BF 0723000I  63                 K  58          1976</t>
        </is>
      </c>
      <c r="D1116" t="inlineStr">
        <is>
          <t>Cognitive development : an information-processing view / David Klahr, J.G. Wallace.</t>
        </is>
      </c>
      <c r="F1116" t="inlineStr">
        <is>
          <t>No</t>
        </is>
      </c>
      <c r="G1116" t="inlineStr">
        <is>
          <t>1</t>
        </is>
      </c>
      <c r="H1116" t="inlineStr">
        <is>
          <t>No</t>
        </is>
      </c>
      <c r="I1116" t="inlineStr">
        <is>
          <t>No</t>
        </is>
      </c>
      <c r="J1116" t="inlineStr">
        <is>
          <t>0</t>
        </is>
      </c>
      <c r="K1116" t="inlineStr">
        <is>
          <t>Klahr, David.</t>
        </is>
      </c>
      <c r="L1116" t="inlineStr">
        <is>
          <t>Hillsdale, N.J. : L. Erlbaum Associates ; New York : distributed by the Halsted Press, 1976.</t>
        </is>
      </c>
      <c r="M1116" t="inlineStr">
        <is>
          <t>1976</t>
        </is>
      </c>
      <c r="O1116" t="inlineStr">
        <is>
          <t>eng</t>
        </is>
      </c>
      <c r="P1116" t="inlineStr">
        <is>
          <t>nju</t>
        </is>
      </c>
      <c r="R1116" t="inlineStr">
        <is>
          <t xml:space="preserve">BF </t>
        </is>
      </c>
      <c r="S1116" t="n">
        <v>2</v>
      </c>
      <c r="T1116" t="n">
        <v>2</v>
      </c>
      <c r="U1116" t="inlineStr">
        <is>
          <t>2007-11-01</t>
        </is>
      </c>
      <c r="V1116" t="inlineStr">
        <is>
          <t>2007-11-01</t>
        </is>
      </c>
      <c r="W1116" t="inlineStr">
        <is>
          <t>1996-08-06</t>
        </is>
      </c>
      <c r="X1116" t="inlineStr">
        <is>
          <t>1996-08-06</t>
        </is>
      </c>
      <c r="Y1116" t="n">
        <v>468</v>
      </c>
      <c r="Z1116" t="n">
        <v>351</v>
      </c>
      <c r="AA1116" t="n">
        <v>352</v>
      </c>
      <c r="AB1116" t="n">
        <v>2</v>
      </c>
      <c r="AC1116" t="n">
        <v>2</v>
      </c>
      <c r="AD1116" t="n">
        <v>12</v>
      </c>
      <c r="AE1116" t="n">
        <v>12</v>
      </c>
      <c r="AF1116" t="n">
        <v>2</v>
      </c>
      <c r="AG1116" t="n">
        <v>2</v>
      </c>
      <c r="AH1116" t="n">
        <v>5</v>
      </c>
      <c r="AI1116" t="n">
        <v>5</v>
      </c>
      <c r="AJ1116" t="n">
        <v>8</v>
      </c>
      <c r="AK1116" t="n">
        <v>8</v>
      </c>
      <c r="AL1116" t="n">
        <v>1</v>
      </c>
      <c r="AM1116" t="n">
        <v>1</v>
      </c>
      <c r="AN1116" t="n">
        <v>0</v>
      </c>
      <c r="AO1116" t="n">
        <v>0</v>
      </c>
      <c r="AP1116" t="inlineStr">
        <is>
          <t>No</t>
        </is>
      </c>
      <c r="AQ1116" t="inlineStr">
        <is>
          <t>Yes</t>
        </is>
      </c>
      <c r="AR1116">
        <f>HYPERLINK("http://catalog.hathitrust.org/Record/000702557","HathiTrust Record")</f>
        <v/>
      </c>
      <c r="AS1116">
        <f>HYPERLINK("https://creighton-primo.hosted.exlibrisgroup.com/primo-explore/search?tab=default_tab&amp;search_scope=EVERYTHING&amp;vid=01CRU&amp;lang=en_US&amp;offset=0&amp;query=any,contains,991004042119702656","Catalog Record")</f>
        <v/>
      </c>
      <c r="AT1116">
        <f>HYPERLINK("http://www.worldcat.org/oclc/2189216","WorldCat Record")</f>
        <v/>
      </c>
      <c r="AU1116" t="inlineStr">
        <is>
          <t>365337608:eng</t>
        </is>
      </c>
      <c r="AV1116" t="inlineStr">
        <is>
          <t>2189216</t>
        </is>
      </c>
      <c r="AW1116" t="inlineStr">
        <is>
          <t>991004042119702656</t>
        </is>
      </c>
      <c r="AX1116" t="inlineStr">
        <is>
          <t>991004042119702656</t>
        </is>
      </c>
      <c r="AY1116" t="inlineStr">
        <is>
          <t>2265395880002656</t>
        </is>
      </c>
      <c r="AZ1116" t="inlineStr">
        <is>
          <t>BOOK</t>
        </is>
      </c>
      <c r="BB1116" t="inlineStr">
        <is>
          <t>9780470151280</t>
        </is>
      </c>
      <c r="BC1116" t="inlineStr">
        <is>
          <t>32285002256450</t>
        </is>
      </c>
      <c r="BD1116" t="inlineStr">
        <is>
          <t>893500034</t>
        </is>
      </c>
    </row>
    <row r="1117">
      <c r="A1117" t="inlineStr">
        <is>
          <t>No</t>
        </is>
      </c>
      <c r="B1117" t="inlineStr">
        <is>
          <t>BF723.M3 H4</t>
        </is>
      </c>
      <c r="C1117" t="inlineStr">
        <is>
          <t>0                      BF 0723000M  3                  H  4</t>
        </is>
      </c>
      <c r="D1117" t="inlineStr">
        <is>
          <t>Brief separations [by] Christoph M. Heinicke and Ilse J. Westheimer with the assistance of Elizabeth Wolpert.</t>
        </is>
      </c>
      <c r="F1117" t="inlineStr">
        <is>
          <t>No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K1117" t="inlineStr">
        <is>
          <t>Heinicke, Christoph M. (Christoph Mathew), 1926-</t>
        </is>
      </c>
      <c r="L1117" t="inlineStr">
        <is>
          <t>New York, International Universities Press [1966,c1965]</t>
        </is>
      </c>
      <c r="M1117" t="inlineStr">
        <is>
          <t>1966</t>
        </is>
      </c>
      <c r="O1117" t="inlineStr">
        <is>
          <t>eng</t>
        </is>
      </c>
      <c r="P1117" t="inlineStr">
        <is>
          <t>nyu</t>
        </is>
      </c>
      <c r="R1117" t="inlineStr">
        <is>
          <t xml:space="preserve">BF </t>
        </is>
      </c>
      <c r="S1117" t="n">
        <v>5</v>
      </c>
      <c r="T1117" t="n">
        <v>5</v>
      </c>
      <c r="U1117" t="inlineStr">
        <is>
          <t>2000-03-14</t>
        </is>
      </c>
      <c r="V1117" t="inlineStr">
        <is>
          <t>2000-03-14</t>
        </is>
      </c>
      <c r="W1117" t="inlineStr">
        <is>
          <t>1996-08-06</t>
        </is>
      </c>
      <c r="X1117" t="inlineStr">
        <is>
          <t>1996-08-06</t>
        </is>
      </c>
      <c r="Y1117" t="n">
        <v>351</v>
      </c>
      <c r="Z1117" t="n">
        <v>322</v>
      </c>
      <c r="AA1117" t="n">
        <v>356</v>
      </c>
      <c r="AB1117" t="n">
        <v>2</v>
      </c>
      <c r="AC1117" t="n">
        <v>2</v>
      </c>
      <c r="AD1117" t="n">
        <v>13</v>
      </c>
      <c r="AE1117" t="n">
        <v>14</v>
      </c>
      <c r="AF1117" t="n">
        <v>3</v>
      </c>
      <c r="AG1117" t="n">
        <v>3</v>
      </c>
      <c r="AH1117" t="n">
        <v>4</v>
      </c>
      <c r="AI1117" t="n">
        <v>4</v>
      </c>
      <c r="AJ1117" t="n">
        <v>8</v>
      </c>
      <c r="AK1117" t="n">
        <v>9</v>
      </c>
      <c r="AL1117" t="n">
        <v>1</v>
      </c>
      <c r="AM1117" t="n">
        <v>1</v>
      </c>
      <c r="AN1117" t="n">
        <v>0</v>
      </c>
      <c r="AO1117" t="n">
        <v>0</v>
      </c>
      <c r="AP1117" t="inlineStr">
        <is>
          <t>No</t>
        </is>
      </c>
      <c r="AQ1117" t="inlineStr">
        <is>
          <t>Yes</t>
        </is>
      </c>
      <c r="AR1117">
        <f>HYPERLINK("http://catalog.hathitrust.org/Record/000431257","HathiTrust Record")</f>
        <v/>
      </c>
      <c r="AS1117">
        <f>HYPERLINK("https://creighton-primo.hosted.exlibrisgroup.com/primo-explore/search?tab=default_tab&amp;search_scope=EVERYTHING&amp;vid=01CRU&amp;lang=en_US&amp;offset=0&amp;query=any,contains,991005265009702656","Catalog Record")</f>
        <v/>
      </c>
      <c r="AT1117">
        <f>HYPERLINK("http://www.worldcat.org/oclc/223415","WorldCat Record")</f>
        <v/>
      </c>
      <c r="AU1117" t="inlineStr">
        <is>
          <t>1331207:eng</t>
        </is>
      </c>
      <c r="AV1117" t="inlineStr">
        <is>
          <t>223415</t>
        </is>
      </c>
      <c r="AW1117" t="inlineStr">
        <is>
          <t>991005265009702656</t>
        </is>
      </c>
      <c r="AX1117" t="inlineStr">
        <is>
          <t>991005265009702656</t>
        </is>
      </c>
      <c r="AY1117" t="inlineStr">
        <is>
          <t>2264135090002656</t>
        </is>
      </c>
      <c r="AZ1117" t="inlineStr">
        <is>
          <t>BOOK</t>
        </is>
      </c>
      <c r="BC1117" t="inlineStr">
        <is>
          <t>32285002256484</t>
        </is>
      </c>
      <c r="BD1117" t="inlineStr">
        <is>
          <t>893424819</t>
        </is>
      </c>
    </row>
    <row r="1118">
      <c r="A1118" t="inlineStr">
        <is>
          <t>No</t>
        </is>
      </c>
      <c r="B1118" t="inlineStr">
        <is>
          <t>BF723.M4 B36 1985</t>
        </is>
      </c>
      <c r="C1118" t="inlineStr">
        <is>
          <t>0                      BF 0723000M  4                  B  36          1985</t>
        </is>
      </c>
      <c r="D1118" t="inlineStr">
        <is>
          <t>Basic processes in memory development : progress in cognitive development research / edited by Charles J. Brainerd and Michael Pressley.</t>
        </is>
      </c>
      <c r="F1118" t="inlineStr">
        <is>
          <t>No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L1118" t="inlineStr">
        <is>
          <t>New York, N.Y., U.S.A. : Springer-Verlag, c1985.</t>
        </is>
      </c>
      <c r="M1118" t="inlineStr">
        <is>
          <t>1985</t>
        </is>
      </c>
      <c r="O1118" t="inlineStr">
        <is>
          <t>eng</t>
        </is>
      </c>
      <c r="P1118" t="inlineStr">
        <is>
          <t>nyu</t>
        </is>
      </c>
      <c r="Q1118" t="inlineStr">
        <is>
          <t>Springer series in cognitive development</t>
        </is>
      </c>
      <c r="R1118" t="inlineStr">
        <is>
          <t xml:space="preserve">BF </t>
        </is>
      </c>
      <c r="S1118" t="n">
        <v>4</v>
      </c>
      <c r="T1118" t="n">
        <v>4</v>
      </c>
      <c r="U1118" t="inlineStr">
        <is>
          <t>2005-10-27</t>
        </is>
      </c>
      <c r="V1118" t="inlineStr">
        <is>
          <t>2005-10-27</t>
        </is>
      </c>
      <c r="W1118" t="inlineStr">
        <is>
          <t>1993-03-09</t>
        </is>
      </c>
      <c r="X1118" t="inlineStr">
        <is>
          <t>1993-03-09</t>
        </is>
      </c>
      <c r="Y1118" t="n">
        <v>425</v>
      </c>
      <c r="Z1118" t="n">
        <v>300</v>
      </c>
      <c r="AA1118" t="n">
        <v>314</v>
      </c>
      <c r="AB1118" t="n">
        <v>4</v>
      </c>
      <c r="AC1118" t="n">
        <v>4</v>
      </c>
      <c r="AD1118" t="n">
        <v>12</v>
      </c>
      <c r="AE1118" t="n">
        <v>13</v>
      </c>
      <c r="AF1118" t="n">
        <v>2</v>
      </c>
      <c r="AG1118" t="n">
        <v>3</v>
      </c>
      <c r="AH1118" t="n">
        <v>3</v>
      </c>
      <c r="AI1118" t="n">
        <v>3</v>
      </c>
      <c r="AJ1118" t="n">
        <v>8</v>
      </c>
      <c r="AK1118" t="n">
        <v>8</v>
      </c>
      <c r="AL1118" t="n">
        <v>3</v>
      </c>
      <c r="AM1118" t="n">
        <v>3</v>
      </c>
      <c r="AN1118" t="n">
        <v>0</v>
      </c>
      <c r="AO1118" t="n">
        <v>0</v>
      </c>
      <c r="AP1118" t="inlineStr">
        <is>
          <t>No</t>
        </is>
      </c>
      <c r="AQ1118" t="inlineStr">
        <is>
          <t>Yes</t>
        </is>
      </c>
      <c r="AR1118">
        <f>HYPERLINK("http://catalog.hathitrust.org/Record/000569937","HathiTrust Record")</f>
        <v/>
      </c>
      <c r="AS1118">
        <f>HYPERLINK("https://creighton-primo.hosted.exlibrisgroup.com/primo-explore/search?tab=default_tab&amp;search_scope=EVERYTHING&amp;vid=01CRU&amp;lang=en_US&amp;offset=0&amp;query=any,contains,991000615319702656","Catalog Record")</f>
        <v/>
      </c>
      <c r="AT1118">
        <f>HYPERLINK("http://www.worldcat.org/oclc/11930560","WorldCat Record")</f>
        <v/>
      </c>
      <c r="AU1118" t="inlineStr">
        <is>
          <t>795363023:eng</t>
        </is>
      </c>
      <c r="AV1118" t="inlineStr">
        <is>
          <t>11930560</t>
        </is>
      </c>
      <c r="AW1118" t="inlineStr">
        <is>
          <t>991000615319702656</t>
        </is>
      </c>
      <c r="AX1118" t="inlineStr">
        <is>
          <t>991000615319702656</t>
        </is>
      </c>
      <c r="AY1118" t="inlineStr">
        <is>
          <t>2268599120002656</t>
        </is>
      </c>
      <c r="AZ1118" t="inlineStr">
        <is>
          <t>BOOK</t>
        </is>
      </c>
      <c r="BB1118" t="inlineStr">
        <is>
          <t>9780387960647</t>
        </is>
      </c>
      <c r="BC1118" t="inlineStr">
        <is>
          <t>32285001570844</t>
        </is>
      </c>
      <c r="BD1118" t="inlineStr">
        <is>
          <t>893249512</t>
        </is>
      </c>
    </row>
    <row r="1119">
      <c r="A1119" t="inlineStr">
        <is>
          <t>No</t>
        </is>
      </c>
      <c r="B1119" t="inlineStr">
        <is>
          <t>BF723.M4 C64 1985</t>
        </is>
      </c>
      <c r="C1119" t="inlineStr">
        <is>
          <t>0                      BF 0723000M  4                  C  64          1985</t>
        </is>
      </c>
      <c r="D1119" t="inlineStr">
        <is>
          <t>Cognitive learning and memory in children : progress in cognitive development research / edited by Michael Pressley and Charles J. Brainerd.</t>
        </is>
      </c>
      <c r="F1119" t="inlineStr">
        <is>
          <t>No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L1119" t="inlineStr">
        <is>
          <t>New York : Springer-Verlag, c1985.</t>
        </is>
      </c>
      <c r="M1119" t="inlineStr">
        <is>
          <t>1985</t>
        </is>
      </c>
      <c r="O1119" t="inlineStr">
        <is>
          <t>eng</t>
        </is>
      </c>
      <c r="P1119" t="inlineStr">
        <is>
          <t>nyu</t>
        </is>
      </c>
      <c r="Q1119" t="inlineStr">
        <is>
          <t>Springer series in cognitive development</t>
        </is>
      </c>
      <c r="R1119" t="inlineStr">
        <is>
          <t xml:space="preserve">BF </t>
        </is>
      </c>
      <c r="S1119" t="n">
        <v>4</v>
      </c>
      <c r="T1119" t="n">
        <v>4</v>
      </c>
      <c r="U1119" t="inlineStr">
        <is>
          <t>2005-03-25</t>
        </is>
      </c>
      <c r="V1119" t="inlineStr">
        <is>
          <t>2005-03-25</t>
        </is>
      </c>
      <c r="W1119" t="inlineStr">
        <is>
          <t>1993-04-07</t>
        </is>
      </c>
      <c r="X1119" t="inlineStr">
        <is>
          <t>1993-04-07</t>
        </is>
      </c>
      <c r="Y1119" t="n">
        <v>430</v>
      </c>
      <c r="Z1119" t="n">
        <v>302</v>
      </c>
      <c r="AA1119" t="n">
        <v>321</v>
      </c>
      <c r="AB1119" t="n">
        <v>3</v>
      </c>
      <c r="AC1119" t="n">
        <v>3</v>
      </c>
      <c r="AD1119" t="n">
        <v>12</v>
      </c>
      <c r="AE1119" t="n">
        <v>14</v>
      </c>
      <c r="AF1119" t="n">
        <v>2</v>
      </c>
      <c r="AG1119" t="n">
        <v>4</v>
      </c>
      <c r="AH1119" t="n">
        <v>3</v>
      </c>
      <c r="AI1119" t="n">
        <v>3</v>
      </c>
      <c r="AJ1119" t="n">
        <v>9</v>
      </c>
      <c r="AK1119" t="n">
        <v>10</v>
      </c>
      <c r="AL1119" t="n">
        <v>2</v>
      </c>
      <c r="AM1119" t="n">
        <v>2</v>
      </c>
      <c r="AN1119" t="n">
        <v>0</v>
      </c>
      <c r="AO1119" t="n">
        <v>0</v>
      </c>
      <c r="AP1119" t="inlineStr">
        <is>
          <t>No</t>
        </is>
      </c>
      <c r="AQ1119" t="inlineStr">
        <is>
          <t>Yes</t>
        </is>
      </c>
      <c r="AR1119">
        <f>HYPERLINK("http://catalog.hathitrust.org/Record/000462608","HathiTrust Record")</f>
        <v/>
      </c>
      <c r="AS1119">
        <f>HYPERLINK("https://creighton-primo.hosted.exlibrisgroup.com/primo-explore/search?tab=default_tab&amp;search_scope=EVERYTHING&amp;vid=01CRU&amp;lang=en_US&amp;offset=0&amp;query=any,contains,991000530739702656","Catalog Record")</f>
        <v/>
      </c>
      <c r="AT1119">
        <f>HYPERLINK("http://www.worldcat.org/oclc/11398774","WorldCat Record")</f>
        <v/>
      </c>
      <c r="AU1119" t="inlineStr">
        <is>
          <t>795352905:eng</t>
        </is>
      </c>
      <c r="AV1119" t="inlineStr">
        <is>
          <t>11398774</t>
        </is>
      </c>
      <c r="AW1119" t="inlineStr">
        <is>
          <t>991000530739702656</t>
        </is>
      </c>
      <c r="AX1119" t="inlineStr">
        <is>
          <t>991000530739702656</t>
        </is>
      </c>
      <c r="AY1119" t="inlineStr">
        <is>
          <t>2270421150002656</t>
        </is>
      </c>
      <c r="AZ1119" t="inlineStr">
        <is>
          <t>BOOK</t>
        </is>
      </c>
      <c r="BB1119" t="inlineStr">
        <is>
          <t>9780387960760</t>
        </is>
      </c>
      <c r="BC1119" t="inlineStr">
        <is>
          <t>32285001604791</t>
        </is>
      </c>
      <c r="BD1119" t="inlineStr">
        <is>
          <t>893407277</t>
        </is>
      </c>
    </row>
    <row r="1120">
      <c r="A1120" t="inlineStr">
        <is>
          <t>No</t>
        </is>
      </c>
      <c r="B1120" t="inlineStr">
        <is>
          <t>BF723.M4 P47</t>
        </is>
      </c>
      <c r="C1120" t="inlineStr">
        <is>
          <t>0                      BF 0723000M  4                  P  47</t>
        </is>
      </c>
      <c r="D1120" t="inlineStr">
        <is>
          <t>Perspectives on the development of memory and cognition / edited by Robert V. Kail, Jr., John W. Hagen.</t>
        </is>
      </c>
      <c r="F1120" t="inlineStr">
        <is>
          <t>No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L1120" t="inlineStr">
        <is>
          <t>Hillsdale, N.J. : L. Erlbaum Associates ; New York : distributed by the Halsted Press Division of J. Wiley, 1977.</t>
        </is>
      </c>
      <c r="M1120" t="inlineStr">
        <is>
          <t>1977</t>
        </is>
      </c>
      <c r="O1120" t="inlineStr">
        <is>
          <t>eng</t>
        </is>
      </c>
      <c r="P1120" t="inlineStr">
        <is>
          <t>nju</t>
        </is>
      </c>
      <c r="R1120" t="inlineStr">
        <is>
          <t xml:space="preserve">BF </t>
        </is>
      </c>
      <c r="S1120" t="n">
        <v>2</v>
      </c>
      <c r="T1120" t="n">
        <v>2</v>
      </c>
      <c r="U1120" t="inlineStr">
        <is>
          <t>2002-07-11</t>
        </is>
      </c>
      <c r="V1120" t="inlineStr">
        <is>
          <t>2002-07-11</t>
        </is>
      </c>
      <c r="W1120" t="inlineStr">
        <is>
          <t>1991-12-12</t>
        </is>
      </c>
      <c r="X1120" t="inlineStr">
        <is>
          <t>1991-12-12</t>
        </is>
      </c>
      <c r="Y1120" t="n">
        <v>693</v>
      </c>
      <c r="Z1120" t="n">
        <v>548</v>
      </c>
      <c r="AA1120" t="n">
        <v>556</v>
      </c>
      <c r="AB1120" t="n">
        <v>4</v>
      </c>
      <c r="AC1120" t="n">
        <v>4</v>
      </c>
      <c r="AD1120" t="n">
        <v>25</v>
      </c>
      <c r="AE1120" t="n">
        <v>25</v>
      </c>
      <c r="AF1120" t="n">
        <v>9</v>
      </c>
      <c r="AG1120" t="n">
        <v>9</v>
      </c>
      <c r="AH1120" t="n">
        <v>5</v>
      </c>
      <c r="AI1120" t="n">
        <v>5</v>
      </c>
      <c r="AJ1120" t="n">
        <v>14</v>
      </c>
      <c r="AK1120" t="n">
        <v>14</v>
      </c>
      <c r="AL1120" t="n">
        <v>3</v>
      </c>
      <c r="AM1120" t="n">
        <v>3</v>
      </c>
      <c r="AN1120" t="n">
        <v>0</v>
      </c>
      <c r="AO1120" t="n">
        <v>0</v>
      </c>
      <c r="AP1120" t="inlineStr">
        <is>
          <t>No</t>
        </is>
      </c>
      <c r="AQ1120" t="inlineStr">
        <is>
          <t>Yes</t>
        </is>
      </c>
      <c r="AR1120">
        <f>HYPERLINK("http://catalog.hathitrust.org/Record/000293400","HathiTrust Record")</f>
        <v/>
      </c>
      <c r="AS1120">
        <f>HYPERLINK("https://creighton-primo.hosted.exlibrisgroup.com/primo-explore/search?tab=default_tab&amp;search_scope=EVERYTHING&amp;vid=01CRU&amp;lang=en_US&amp;offset=0&amp;query=any,contains,991004361349702656","Catalog Record")</f>
        <v/>
      </c>
      <c r="AT1120">
        <f>HYPERLINK("http://www.worldcat.org/oclc/3167607","WorldCat Record")</f>
        <v/>
      </c>
      <c r="AU1120" t="inlineStr">
        <is>
          <t>350640633:eng</t>
        </is>
      </c>
      <c r="AV1120" t="inlineStr">
        <is>
          <t>3167607</t>
        </is>
      </c>
      <c r="AW1120" t="inlineStr">
        <is>
          <t>991004361349702656</t>
        </is>
      </c>
      <c r="AX1120" t="inlineStr">
        <is>
          <t>991004361349702656</t>
        </is>
      </c>
      <c r="AY1120" t="inlineStr">
        <is>
          <t>2262142300002656</t>
        </is>
      </c>
      <c r="AZ1120" t="inlineStr">
        <is>
          <t>BOOK</t>
        </is>
      </c>
      <c r="BB1120" t="inlineStr">
        <is>
          <t>9780470992739</t>
        </is>
      </c>
      <c r="BC1120" t="inlineStr">
        <is>
          <t>32285000887132</t>
        </is>
      </c>
      <c r="BD1120" t="inlineStr">
        <is>
          <t>893423704</t>
        </is>
      </c>
    </row>
    <row r="1121">
      <c r="A1121" t="inlineStr">
        <is>
          <t>No</t>
        </is>
      </c>
      <c r="B1121" t="inlineStr">
        <is>
          <t>BF723.M4 P53</t>
        </is>
      </c>
      <c r="C1121" t="inlineStr">
        <is>
          <t>0                      BF 0723000M  4                  P  53</t>
        </is>
      </c>
      <c r="D1121" t="inlineStr">
        <is>
          <t>On the development of memory and identity / translated by Eleanor Duckworth.</t>
        </is>
      </c>
      <c r="F1121" t="inlineStr">
        <is>
          <t>No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K1121" t="inlineStr">
        <is>
          <t>Piaget, Jean, 1896-1980.</t>
        </is>
      </c>
      <c r="L1121" t="inlineStr">
        <is>
          <t>[Worcester, Mass.] Clark University Press, 1968.</t>
        </is>
      </c>
      <c r="M1121" t="inlineStr">
        <is>
          <t>1968</t>
        </is>
      </c>
      <c r="O1121" t="inlineStr">
        <is>
          <t>eng</t>
        </is>
      </c>
      <c r="P1121" t="inlineStr">
        <is>
          <t>mau</t>
        </is>
      </c>
      <c r="Q1121" t="inlineStr">
        <is>
          <t>Heinz Werner lectures ; 1967</t>
        </is>
      </c>
      <c r="R1121" t="inlineStr">
        <is>
          <t xml:space="preserve">BF </t>
        </is>
      </c>
      <c r="S1121" t="n">
        <v>1</v>
      </c>
      <c r="T1121" t="n">
        <v>1</v>
      </c>
      <c r="U1121" t="inlineStr">
        <is>
          <t>2006-10-12</t>
        </is>
      </c>
      <c r="V1121" t="inlineStr">
        <is>
          <t>2006-10-12</t>
        </is>
      </c>
      <c r="W1121" t="inlineStr">
        <is>
          <t>1997-09-25</t>
        </is>
      </c>
      <c r="X1121" t="inlineStr">
        <is>
          <t>1997-09-25</t>
        </is>
      </c>
      <c r="Y1121" t="n">
        <v>571</v>
      </c>
      <c r="Z1121" t="n">
        <v>495</v>
      </c>
      <c r="AA1121" t="n">
        <v>498</v>
      </c>
      <c r="AB1121" t="n">
        <v>3</v>
      </c>
      <c r="AC1121" t="n">
        <v>3</v>
      </c>
      <c r="AD1121" t="n">
        <v>23</v>
      </c>
      <c r="AE1121" t="n">
        <v>23</v>
      </c>
      <c r="AF1121" t="n">
        <v>9</v>
      </c>
      <c r="AG1121" t="n">
        <v>9</v>
      </c>
      <c r="AH1121" t="n">
        <v>7</v>
      </c>
      <c r="AI1121" t="n">
        <v>7</v>
      </c>
      <c r="AJ1121" t="n">
        <v>11</v>
      </c>
      <c r="AK1121" t="n">
        <v>11</v>
      </c>
      <c r="AL1121" t="n">
        <v>2</v>
      </c>
      <c r="AM1121" t="n">
        <v>2</v>
      </c>
      <c r="AN1121" t="n">
        <v>0</v>
      </c>
      <c r="AO1121" t="n">
        <v>0</v>
      </c>
      <c r="AP1121" t="inlineStr">
        <is>
          <t>No</t>
        </is>
      </c>
      <c r="AQ1121" t="inlineStr">
        <is>
          <t>Yes</t>
        </is>
      </c>
      <c r="AR1121">
        <f>HYPERLINK("http://catalog.hathitrust.org/Record/000472471","HathiTrust Record")</f>
        <v/>
      </c>
      <c r="AS1121">
        <f>HYPERLINK("https://creighton-primo.hosted.exlibrisgroup.com/primo-explore/search?tab=default_tab&amp;search_scope=EVERYTHING&amp;vid=01CRU&amp;lang=en_US&amp;offset=0&amp;query=any,contains,991002779509702656","Catalog Record")</f>
        <v/>
      </c>
      <c r="AT1121">
        <f>HYPERLINK("http://www.worldcat.org/oclc/439777","WorldCat Record")</f>
        <v/>
      </c>
      <c r="AU1121" t="inlineStr">
        <is>
          <t>51746227:eng</t>
        </is>
      </c>
      <c r="AV1121" t="inlineStr">
        <is>
          <t>439777</t>
        </is>
      </c>
      <c r="AW1121" t="inlineStr">
        <is>
          <t>991002779509702656</t>
        </is>
      </c>
      <c r="AX1121" t="inlineStr">
        <is>
          <t>991002779509702656</t>
        </is>
      </c>
      <c r="AY1121" t="inlineStr">
        <is>
          <t>2266525640002656</t>
        </is>
      </c>
      <c r="AZ1121" t="inlineStr">
        <is>
          <t>BOOK</t>
        </is>
      </c>
      <c r="BC1121" t="inlineStr">
        <is>
          <t>32285003179131</t>
        </is>
      </c>
      <c r="BD1121" t="inlineStr">
        <is>
          <t>893421790</t>
        </is>
      </c>
    </row>
    <row r="1122">
      <c r="A1122" t="inlineStr">
        <is>
          <t>No</t>
        </is>
      </c>
      <c r="B1122" t="inlineStr">
        <is>
          <t>BF723.M54 D95</t>
        </is>
      </c>
      <c r="C1122" t="inlineStr">
        <is>
          <t>0                      BF 0723000M  54                 D  95</t>
        </is>
      </c>
      <c r="D1122" t="inlineStr">
        <is>
          <t>Vision and character : a christian educator's alternative to Kohlberg / Craig R. Dykstra.</t>
        </is>
      </c>
      <c r="F1122" t="inlineStr">
        <is>
          <t>No</t>
        </is>
      </c>
      <c r="G1122" t="inlineStr">
        <is>
          <t>1</t>
        </is>
      </c>
      <c r="H1122" t="inlineStr">
        <is>
          <t>No</t>
        </is>
      </c>
      <c r="I1122" t="inlineStr">
        <is>
          <t>No</t>
        </is>
      </c>
      <c r="J1122" t="inlineStr">
        <is>
          <t>0</t>
        </is>
      </c>
      <c r="K1122" t="inlineStr">
        <is>
          <t>Dykstra, Craig R.</t>
        </is>
      </c>
      <c r="L1122" t="inlineStr">
        <is>
          <t>New York : Paulist Press, c1981.</t>
        </is>
      </c>
      <c r="M1122" t="inlineStr">
        <is>
          <t>1981</t>
        </is>
      </c>
      <c r="O1122" t="inlineStr">
        <is>
          <t>eng</t>
        </is>
      </c>
      <c r="P1122" t="inlineStr">
        <is>
          <t>nyu</t>
        </is>
      </c>
      <c r="R1122" t="inlineStr">
        <is>
          <t xml:space="preserve">BF </t>
        </is>
      </c>
      <c r="S1122" t="n">
        <v>6</v>
      </c>
      <c r="T1122" t="n">
        <v>6</v>
      </c>
      <c r="U1122" t="inlineStr">
        <is>
          <t>1999-07-18</t>
        </is>
      </c>
      <c r="V1122" t="inlineStr">
        <is>
          <t>1999-07-18</t>
        </is>
      </c>
      <c r="W1122" t="inlineStr">
        <is>
          <t>1992-12-14</t>
        </is>
      </c>
      <c r="X1122" t="inlineStr">
        <is>
          <t>1992-12-14</t>
        </is>
      </c>
      <c r="Y1122" t="n">
        <v>427</v>
      </c>
      <c r="Z1122" t="n">
        <v>359</v>
      </c>
      <c r="AA1122" t="n">
        <v>374</v>
      </c>
      <c r="AB1122" t="n">
        <v>6</v>
      </c>
      <c r="AC1122" t="n">
        <v>7</v>
      </c>
      <c r="AD1122" t="n">
        <v>27</v>
      </c>
      <c r="AE1122" t="n">
        <v>29</v>
      </c>
      <c r="AF1122" t="n">
        <v>5</v>
      </c>
      <c r="AG1122" t="n">
        <v>6</v>
      </c>
      <c r="AH1122" t="n">
        <v>8</v>
      </c>
      <c r="AI1122" t="n">
        <v>9</v>
      </c>
      <c r="AJ1122" t="n">
        <v>16</v>
      </c>
      <c r="AK1122" t="n">
        <v>16</v>
      </c>
      <c r="AL1122" t="n">
        <v>4</v>
      </c>
      <c r="AM1122" t="n">
        <v>5</v>
      </c>
      <c r="AN1122" t="n">
        <v>0</v>
      </c>
      <c r="AO1122" t="n">
        <v>0</v>
      </c>
      <c r="AP1122" t="inlineStr">
        <is>
          <t>No</t>
        </is>
      </c>
      <c r="AQ1122" t="inlineStr">
        <is>
          <t>No</t>
        </is>
      </c>
      <c r="AS1122">
        <f>HYPERLINK("https://creighton-primo.hosted.exlibrisgroup.com/primo-explore/search?tab=default_tab&amp;search_scope=EVERYTHING&amp;vid=01CRU&amp;lang=en_US&amp;offset=0&amp;query=any,contains,991005196119702656","Catalog Record")</f>
        <v/>
      </c>
      <c r="AT1122">
        <f>HYPERLINK("http://www.worldcat.org/oclc/8043320","WorldCat Record")</f>
        <v/>
      </c>
      <c r="AU1122" t="inlineStr">
        <is>
          <t>889793063:eng</t>
        </is>
      </c>
      <c r="AV1122" t="inlineStr">
        <is>
          <t>8043320</t>
        </is>
      </c>
      <c r="AW1122" t="inlineStr">
        <is>
          <t>991005196119702656</t>
        </is>
      </c>
      <c r="AX1122" t="inlineStr">
        <is>
          <t>991005196119702656</t>
        </is>
      </c>
      <c r="AY1122" t="inlineStr">
        <is>
          <t>2259527580002656</t>
        </is>
      </c>
      <c r="AZ1122" t="inlineStr">
        <is>
          <t>BOOK</t>
        </is>
      </c>
      <c r="BB1122" t="inlineStr">
        <is>
          <t>9780809124053</t>
        </is>
      </c>
      <c r="BC1122" t="inlineStr">
        <is>
          <t>32285001466035</t>
        </is>
      </c>
      <c r="BD1122" t="inlineStr">
        <is>
          <t>893520608</t>
        </is>
      </c>
    </row>
    <row r="1123">
      <c r="A1123" t="inlineStr">
        <is>
          <t>No</t>
        </is>
      </c>
      <c r="B1123" t="inlineStr">
        <is>
          <t>BF723.M54 E48 1987</t>
        </is>
      </c>
      <c r="C1123" t="inlineStr">
        <is>
          <t>0                      BF 0723000M  54                 E  48          1987</t>
        </is>
      </c>
      <c r="D1123" t="inlineStr">
        <is>
          <t>The Emergence of morality in young children / edited by Jerome Kagan and Sharon Lamb.</t>
        </is>
      </c>
      <c r="F1123" t="inlineStr">
        <is>
          <t>No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Chicago : University of Chicago Press, 1987.</t>
        </is>
      </c>
      <c r="M1123" t="inlineStr">
        <is>
          <t>1987</t>
        </is>
      </c>
      <c r="O1123" t="inlineStr">
        <is>
          <t>eng</t>
        </is>
      </c>
      <c r="P1123" t="inlineStr">
        <is>
          <t>ilu</t>
        </is>
      </c>
      <c r="R1123" t="inlineStr">
        <is>
          <t xml:space="preserve">BF </t>
        </is>
      </c>
      <c r="S1123" t="n">
        <v>19</v>
      </c>
      <c r="T1123" t="n">
        <v>19</v>
      </c>
      <c r="U1123" t="inlineStr">
        <is>
          <t>2009-10-26</t>
        </is>
      </c>
      <c r="V1123" t="inlineStr">
        <is>
          <t>2009-10-26</t>
        </is>
      </c>
      <c r="W1123" t="inlineStr">
        <is>
          <t>1990-06-12</t>
        </is>
      </c>
      <c r="X1123" t="inlineStr">
        <is>
          <t>1990-06-12</t>
        </is>
      </c>
      <c r="Y1123" t="n">
        <v>789</v>
      </c>
      <c r="Z1123" t="n">
        <v>644</v>
      </c>
      <c r="AA1123" t="n">
        <v>704</v>
      </c>
      <c r="AB1123" t="n">
        <v>5</v>
      </c>
      <c r="AC1123" t="n">
        <v>5</v>
      </c>
      <c r="AD1123" t="n">
        <v>30</v>
      </c>
      <c r="AE1123" t="n">
        <v>31</v>
      </c>
      <c r="AF1123" t="n">
        <v>7</v>
      </c>
      <c r="AG1123" t="n">
        <v>7</v>
      </c>
      <c r="AH1123" t="n">
        <v>6</v>
      </c>
      <c r="AI1123" t="n">
        <v>6</v>
      </c>
      <c r="AJ1123" t="n">
        <v>18</v>
      </c>
      <c r="AK1123" t="n">
        <v>19</v>
      </c>
      <c r="AL1123" t="n">
        <v>4</v>
      </c>
      <c r="AM1123" t="n">
        <v>4</v>
      </c>
      <c r="AN1123" t="n">
        <v>0</v>
      </c>
      <c r="AO1123" t="n">
        <v>0</v>
      </c>
      <c r="AP1123" t="inlineStr">
        <is>
          <t>No</t>
        </is>
      </c>
      <c r="AQ1123" t="inlineStr">
        <is>
          <t>No</t>
        </is>
      </c>
      <c r="AS1123">
        <f>HYPERLINK("https://creighton-primo.hosted.exlibrisgroup.com/primo-explore/search?tab=default_tab&amp;search_scope=EVERYTHING&amp;vid=01CRU&amp;lang=en_US&amp;offset=0&amp;query=any,contains,991001052159702656","Catalog Record")</f>
        <v/>
      </c>
      <c r="AT1123">
        <f>HYPERLINK("http://www.worldcat.org/oclc/15657127","WorldCat Record")</f>
        <v/>
      </c>
      <c r="AU1123" t="inlineStr">
        <is>
          <t>351841683:eng</t>
        </is>
      </c>
      <c r="AV1123" t="inlineStr">
        <is>
          <t>15657127</t>
        </is>
      </c>
      <c r="AW1123" t="inlineStr">
        <is>
          <t>991001052159702656</t>
        </is>
      </c>
      <c r="AX1123" t="inlineStr">
        <is>
          <t>991001052159702656</t>
        </is>
      </c>
      <c r="AY1123" t="inlineStr">
        <is>
          <t>2264275090002656</t>
        </is>
      </c>
      <c r="AZ1123" t="inlineStr">
        <is>
          <t>BOOK</t>
        </is>
      </c>
      <c r="BB1123" t="inlineStr">
        <is>
          <t>9780226422312</t>
        </is>
      </c>
      <c r="BC1123" t="inlineStr">
        <is>
          <t>32285000184670</t>
        </is>
      </c>
      <c r="BD1123" t="inlineStr">
        <is>
          <t>893878579</t>
        </is>
      </c>
    </row>
    <row r="1124">
      <c r="A1124" t="inlineStr">
        <is>
          <t>No</t>
        </is>
      </c>
      <c r="B1124" t="inlineStr">
        <is>
          <t>BF723.M54 H357 1986</t>
        </is>
      </c>
      <c r="C1124" t="inlineStr">
        <is>
          <t>0                      BF 0723000M  54                 H  357         1986</t>
        </is>
      </c>
      <c r="D1124" t="inlineStr">
        <is>
          <t>Handbook of moral development : models, processes, techniques, and research / edited by Gary L. Sapp.</t>
        </is>
      </c>
      <c r="F1124" t="inlineStr">
        <is>
          <t>No</t>
        </is>
      </c>
      <c r="G1124" t="inlineStr">
        <is>
          <t>1</t>
        </is>
      </c>
      <c r="H1124" t="inlineStr">
        <is>
          <t>No</t>
        </is>
      </c>
      <c r="I1124" t="inlineStr">
        <is>
          <t>No</t>
        </is>
      </c>
      <c r="J1124" t="inlineStr">
        <is>
          <t>0</t>
        </is>
      </c>
      <c r="L1124" t="inlineStr">
        <is>
          <t>Birmingham, Ala. : Religious Education Press, 1986.</t>
        </is>
      </c>
      <c r="M1124" t="inlineStr">
        <is>
          <t>1986</t>
        </is>
      </c>
      <c r="O1124" t="inlineStr">
        <is>
          <t>eng</t>
        </is>
      </c>
      <c r="P1124" t="inlineStr">
        <is>
          <t>alu</t>
        </is>
      </c>
      <c r="R1124" t="inlineStr">
        <is>
          <t xml:space="preserve">BF </t>
        </is>
      </c>
      <c r="S1124" t="n">
        <v>8</v>
      </c>
      <c r="T1124" t="n">
        <v>8</v>
      </c>
      <c r="U1124" t="inlineStr">
        <is>
          <t>2005-11-15</t>
        </is>
      </c>
      <c r="V1124" t="inlineStr">
        <is>
          <t>2005-11-15</t>
        </is>
      </c>
      <c r="W1124" t="inlineStr">
        <is>
          <t>1990-05-18</t>
        </is>
      </c>
      <c r="X1124" t="inlineStr">
        <is>
          <t>1990-05-18</t>
        </is>
      </c>
      <c r="Y1124" t="n">
        <v>429</v>
      </c>
      <c r="Z1124" t="n">
        <v>371</v>
      </c>
      <c r="AA1124" t="n">
        <v>378</v>
      </c>
      <c r="AB1124" t="n">
        <v>3</v>
      </c>
      <c r="AC1124" t="n">
        <v>3</v>
      </c>
      <c r="AD1124" t="n">
        <v>23</v>
      </c>
      <c r="AE1124" t="n">
        <v>23</v>
      </c>
      <c r="AF1124" t="n">
        <v>11</v>
      </c>
      <c r="AG1124" t="n">
        <v>11</v>
      </c>
      <c r="AH1124" t="n">
        <v>3</v>
      </c>
      <c r="AI1124" t="n">
        <v>3</v>
      </c>
      <c r="AJ1124" t="n">
        <v>14</v>
      </c>
      <c r="AK1124" t="n">
        <v>14</v>
      </c>
      <c r="AL1124" t="n">
        <v>2</v>
      </c>
      <c r="AM1124" t="n">
        <v>2</v>
      </c>
      <c r="AN1124" t="n">
        <v>0</v>
      </c>
      <c r="AO1124" t="n">
        <v>0</v>
      </c>
      <c r="AP1124" t="inlineStr">
        <is>
          <t>No</t>
        </is>
      </c>
      <c r="AQ1124" t="inlineStr">
        <is>
          <t>Yes</t>
        </is>
      </c>
      <c r="AR1124">
        <f>HYPERLINK("http://catalog.hathitrust.org/Record/000538075","HathiTrust Record")</f>
        <v/>
      </c>
      <c r="AS1124">
        <f>HYPERLINK("https://creighton-primo.hosted.exlibrisgroup.com/primo-explore/search?tab=default_tab&amp;search_scope=EVERYTHING&amp;vid=01CRU&amp;lang=en_US&amp;offset=0&amp;query=any,contains,991000785429702656","Catalog Record")</f>
        <v/>
      </c>
      <c r="AT1124">
        <f>HYPERLINK("http://www.worldcat.org/oclc/13124077","WorldCat Record")</f>
        <v/>
      </c>
      <c r="AU1124" t="inlineStr">
        <is>
          <t>5679388:eng</t>
        </is>
      </c>
      <c r="AV1124" t="inlineStr">
        <is>
          <t>13124077</t>
        </is>
      </c>
      <c r="AW1124" t="inlineStr">
        <is>
          <t>991000785429702656</t>
        </is>
      </c>
      <c r="AX1124" t="inlineStr">
        <is>
          <t>991000785429702656</t>
        </is>
      </c>
      <c r="AY1124" t="inlineStr">
        <is>
          <t>2255334040002656</t>
        </is>
      </c>
      <c r="AZ1124" t="inlineStr">
        <is>
          <t>BOOK</t>
        </is>
      </c>
      <c r="BB1124" t="inlineStr">
        <is>
          <t>9780891350545</t>
        </is>
      </c>
      <c r="BC1124" t="inlineStr">
        <is>
          <t>32285000153543</t>
        </is>
      </c>
      <c r="BD1124" t="inlineStr">
        <is>
          <t>893315232</t>
        </is>
      </c>
    </row>
    <row r="1125">
      <c r="A1125" t="inlineStr">
        <is>
          <t>No</t>
        </is>
      </c>
      <c r="B1125" t="inlineStr">
        <is>
          <t>BF723.M54 H46 1983</t>
        </is>
      </c>
      <c r="C1125" t="inlineStr">
        <is>
          <t>0                      BF 0723000M  54                 H  46          1983</t>
        </is>
      </c>
      <c r="D1125" t="inlineStr">
        <is>
          <t>The psychodynamic foundations of morality / Rachael M. Henry.</t>
        </is>
      </c>
      <c r="F1125" t="inlineStr">
        <is>
          <t>No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K1125" t="inlineStr">
        <is>
          <t>Henry, Rachael M.</t>
        </is>
      </c>
      <c r="L1125" t="inlineStr">
        <is>
          <t>Basel ; New York : Karger, 1983.</t>
        </is>
      </c>
      <c r="M1125" t="inlineStr">
        <is>
          <t>1983</t>
        </is>
      </c>
      <c r="O1125" t="inlineStr">
        <is>
          <t>eng</t>
        </is>
      </c>
      <c r="P1125" t="inlineStr">
        <is>
          <t xml:space="preserve">sz </t>
        </is>
      </c>
      <c r="Q1125" t="inlineStr">
        <is>
          <t>Contributions to human development ; v. 7</t>
        </is>
      </c>
      <c r="R1125" t="inlineStr">
        <is>
          <t xml:space="preserve">BF </t>
        </is>
      </c>
      <c r="S1125" t="n">
        <v>3</v>
      </c>
      <c r="T1125" t="n">
        <v>3</v>
      </c>
      <c r="U1125" t="inlineStr">
        <is>
          <t>2000-10-10</t>
        </is>
      </c>
      <c r="V1125" t="inlineStr">
        <is>
          <t>2000-10-10</t>
        </is>
      </c>
      <c r="W1125" t="inlineStr">
        <is>
          <t>1990-05-18</t>
        </is>
      </c>
      <c r="X1125" t="inlineStr">
        <is>
          <t>1990-05-18</t>
        </is>
      </c>
      <c r="Y1125" t="n">
        <v>267</v>
      </c>
      <c r="Z1125" t="n">
        <v>182</v>
      </c>
      <c r="AA1125" t="n">
        <v>195</v>
      </c>
      <c r="AB1125" t="n">
        <v>2</v>
      </c>
      <c r="AC1125" t="n">
        <v>2</v>
      </c>
      <c r="AD1125" t="n">
        <v>9</v>
      </c>
      <c r="AE1125" t="n">
        <v>9</v>
      </c>
      <c r="AF1125" t="n">
        <v>1</v>
      </c>
      <c r="AG1125" t="n">
        <v>1</v>
      </c>
      <c r="AH1125" t="n">
        <v>3</v>
      </c>
      <c r="AI1125" t="n">
        <v>3</v>
      </c>
      <c r="AJ1125" t="n">
        <v>5</v>
      </c>
      <c r="AK1125" t="n">
        <v>5</v>
      </c>
      <c r="AL1125" t="n">
        <v>1</v>
      </c>
      <c r="AM1125" t="n">
        <v>1</v>
      </c>
      <c r="AN1125" t="n">
        <v>0</v>
      </c>
      <c r="AO1125" t="n">
        <v>0</v>
      </c>
      <c r="AP1125" t="inlineStr">
        <is>
          <t>No</t>
        </is>
      </c>
      <c r="AQ1125" t="inlineStr">
        <is>
          <t>Yes</t>
        </is>
      </c>
      <c r="AR1125">
        <f>HYPERLINK("http://catalog.hathitrust.org/Record/000243743","HathiTrust Record")</f>
        <v/>
      </c>
      <c r="AS1125">
        <f>HYPERLINK("https://creighton-primo.hosted.exlibrisgroup.com/primo-explore/search?tab=default_tab&amp;search_scope=EVERYTHING&amp;vid=01CRU&amp;lang=en_US&amp;offset=0&amp;query=any,contains,991000130939702656","Catalog Record")</f>
        <v/>
      </c>
      <c r="AT1125">
        <f>HYPERLINK("http://www.worldcat.org/oclc/9111309","WorldCat Record")</f>
        <v/>
      </c>
      <c r="AU1125" t="inlineStr">
        <is>
          <t>20548116:eng</t>
        </is>
      </c>
      <c r="AV1125" t="inlineStr">
        <is>
          <t>9111309</t>
        </is>
      </c>
      <c r="AW1125" t="inlineStr">
        <is>
          <t>991000130939702656</t>
        </is>
      </c>
      <c r="AX1125" t="inlineStr">
        <is>
          <t>991000130939702656</t>
        </is>
      </c>
      <c r="AY1125" t="inlineStr">
        <is>
          <t>2266631200002656</t>
        </is>
      </c>
      <c r="AZ1125" t="inlineStr">
        <is>
          <t>BOOK</t>
        </is>
      </c>
      <c r="BB1125" t="inlineStr">
        <is>
          <t>9783805536035</t>
        </is>
      </c>
      <c r="BC1125" t="inlineStr">
        <is>
          <t>32285000153550</t>
        </is>
      </c>
      <c r="BD1125" t="inlineStr">
        <is>
          <t>893695615</t>
        </is>
      </c>
    </row>
    <row r="1126">
      <c r="A1126" t="inlineStr">
        <is>
          <t>No</t>
        </is>
      </c>
      <c r="B1126" t="inlineStr">
        <is>
          <t>BF723.M54 K87 1987</t>
        </is>
      </c>
      <c r="C1126" t="inlineStr">
        <is>
          <t>0                      BF 0723000M  54                 K  87          1987</t>
        </is>
      </c>
      <c r="D1126" t="inlineStr">
        <is>
          <t>Moral development through social interaction / William M. Kurtines, Jacob L. Gewirtz.</t>
        </is>
      </c>
      <c r="F1126" t="inlineStr">
        <is>
          <t>No</t>
        </is>
      </c>
      <c r="G1126" t="inlineStr">
        <is>
          <t>1</t>
        </is>
      </c>
      <c r="H1126" t="inlineStr">
        <is>
          <t>Yes</t>
        </is>
      </c>
      <c r="I1126" t="inlineStr">
        <is>
          <t>No</t>
        </is>
      </c>
      <c r="J1126" t="inlineStr">
        <is>
          <t>0</t>
        </is>
      </c>
      <c r="K1126" t="inlineStr">
        <is>
          <t>Kurtines, William M.</t>
        </is>
      </c>
      <c r="L1126" t="inlineStr">
        <is>
          <t>New York : Wiley, c1987.</t>
        </is>
      </c>
      <c r="M1126" t="inlineStr">
        <is>
          <t>1987</t>
        </is>
      </c>
      <c r="O1126" t="inlineStr">
        <is>
          <t>eng</t>
        </is>
      </c>
      <c r="P1126" t="inlineStr">
        <is>
          <t>nyu</t>
        </is>
      </c>
      <c r="R1126" t="inlineStr">
        <is>
          <t xml:space="preserve">BF </t>
        </is>
      </c>
      <c r="S1126" t="n">
        <v>10</v>
      </c>
      <c r="T1126" t="n">
        <v>16</v>
      </c>
      <c r="U1126" t="inlineStr">
        <is>
          <t>2010-10-25</t>
        </is>
      </c>
      <c r="V1126" t="inlineStr">
        <is>
          <t>2010-10-25</t>
        </is>
      </c>
      <c r="W1126" t="inlineStr">
        <is>
          <t>1990-06-12</t>
        </is>
      </c>
      <c r="X1126" t="inlineStr">
        <is>
          <t>1990-06-12</t>
        </is>
      </c>
      <c r="Y1126" t="n">
        <v>465</v>
      </c>
      <c r="Z1126" t="n">
        <v>354</v>
      </c>
      <c r="AA1126" t="n">
        <v>355</v>
      </c>
      <c r="AB1126" t="n">
        <v>6</v>
      </c>
      <c r="AC1126" t="n">
        <v>6</v>
      </c>
      <c r="AD1126" t="n">
        <v>21</v>
      </c>
      <c r="AE1126" t="n">
        <v>21</v>
      </c>
      <c r="AF1126" t="n">
        <v>7</v>
      </c>
      <c r="AG1126" t="n">
        <v>7</v>
      </c>
      <c r="AH1126" t="n">
        <v>4</v>
      </c>
      <c r="AI1126" t="n">
        <v>4</v>
      </c>
      <c r="AJ1126" t="n">
        <v>11</v>
      </c>
      <c r="AK1126" t="n">
        <v>11</v>
      </c>
      <c r="AL1126" t="n">
        <v>4</v>
      </c>
      <c r="AM1126" t="n">
        <v>4</v>
      </c>
      <c r="AN1126" t="n">
        <v>0</v>
      </c>
      <c r="AO1126" t="n">
        <v>0</v>
      </c>
      <c r="AP1126" t="inlineStr">
        <is>
          <t>No</t>
        </is>
      </c>
      <c r="AQ1126" t="inlineStr">
        <is>
          <t>Yes</t>
        </is>
      </c>
      <c r="AR1126">
        <f>HYPERLINK("http://catalog.hathitrust.org/Record/000858010","HathiTrust Record")</f>
        <v/>
      </c>
      <c r="AS1126">
        <f>HYPERLINK("https://creighton-primo.hosted.exlibrisgroup.com/primo-explore/search?tab=default_tab&amp;search_scope=EVERYTHING&amp;vid=01CRU&amp;lang=en_US&amp;offset=0&amp;query=any,contains,991001788569702656","Catalog Record")</f>
        <v/>
      </c>
      <c r="AT1126">
        <f>HYPERLINK("http://www.worldcat.org/oclc/15549708","WorldCat Record")</f>
        <v/>
      </c>
      <c r="AU1126" t="inlineStr">
        <is>
          <t>10835292:eng</t>
        </is>
      </c>
      <c r="AV1126" t="inlineStr">
        <is>
          <t>15549708</t>
        </is>
      </c>
      <c r="AW1126" t="inlineStr">
        <is>
          <t>991001788569702656</t>
        </is>
      </c>
      <c r="AX1126" t="inlineStr">
        <is>
          <t>991001788569702656</t>
        </is>
      </c>
      <c r="AY1126" t="inlineStr">
        <is>
          <t>2266790730002656</t>
        </is>
      </c>
      <c r="AZ1126" t="inlineStr">
        <is>
          <t>BOOK</t>
        </is>
      </c>
      <c r="BB1126" t="inlineStr">
        <is>
          <t>9780471625674</t>
        </is>
      </c>
      <c r="BC1126" t="inlineStr">
        <is>
          <t>32285000184688</t>
        </is>
      </c>
      <c r="BD1126" t="inlineStr">
        <is>
          <t>893414513</t>
        </is>
      </c>
    </row>
    <row r="1127">
      <c r="A1127" t="inlineStr">
        <is>
          <t>No</t>
        </is>
      </c>
      <c r="B1127" t="inlineStr">
        <is>
          <t>BF723.M54 M66 1994, v.4</t>
        </is>
      </c>
      <c r="C1127" t="inlineStr">
        <is>
          <t>0                      BF 0723000M  54                 M  66          1994                  v.4</t>
        </is>
      </c>
      <c r="D1127" t="inlineStr">
        <is>
          <t>The great justice debate : Kohlberg criticism / edited with introductions by Bill Puka.</t>
        </is>
      </c>
      <c r="E1127" t="inlineStr">
        <is>
          <t>V.4</t>
        </is>
      </c>
      <c r="F1127" t="inlineStr">
        <is>
          <t>No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L1127" t="inlineStr">
        <is>
          <t>New York : Garland, 1994.</t>
        </is>
      </c>
      <c r="M1127" t="inlineStr">
        <is>
          <t>1994</t>
        </is>
      </c>
      <c r="O1127" t="inlineStr">
        <is>
          <t>eng</t>
        </is>
      </c>
      <c r="P1127" t="inlineStr">
        <is>
          <t>nyu</t>
        </is>
      </c>
      <c r="Q1127" t="inlineStr">
        <is>
          <t>Moral development : a compendium ; v. 4</t>
        </is>
      </c>
      <c r="R1127" t="inlineStr">
        <is>
          <t xml:space="preserve">BF </t>
        </is>
      </c>
      <c r="S1127" t="n">
        <v>1</v>
      </c>
      <c r="T1127" t="n">
        <v>1</v>
      </c>
      <c r="U1127" t="inlineStr">
        <is>
          <t>2002-11-25</t>
        </is>
      </c>
      <c r="V1127" t="inlineStr">
        <is>
          <t>2002-11-25</t>
        </is>
      </c>
      <c r="W1127" t="inlineStr">
        <is>
          <t>1996-09-24</t>
        </is>
      </c>
      <c r="X1127" t="inlineStr">
        <is>
          <t>1996-09-24</t>
        </is>
      </c>
      <c r="Y1127" t="n">
        <v>49</v>
      </c>
      <c r="Z1127" t="n">
        <v>30</v>
      </c>
      <c r="AA1127" t="n">
        <v>30</v>
      </c>
      <c r="AB1127" t="n">
        <v>1</v>
      </c>
      <c r="AC1127" t="n">
        <v>1</v>
      </c>
      <c r="AD1127" t="n">
        <v>4</v>
      </c>
      <c r="AE1127" t="n">
        <v>4</v>
      </c>
      <c r="AF1127" t="n">
        <v>1</v>
      </c>
      <c r="AG1127" t="n">
        <v>1</v>
      </c>
      <c r="AH1127" t="n">
        <v>0</v>
      </c>
      <c r="AI1127" t="n">
        <v>0</v>
      </c>
      <c r="AJ1127" t="n">
        <v>4</v>
      </c>
      <c r="AK1127" t="n">
        <v>4</v>
      </c>
      <c r="AL1127" t="n">
        <v>0</v>
      </c>
      <c r="AM1127" t="n">
        <v>0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No</t>
        </is>
      </c>
      <c r="AS1127">
        <f>HYPERLINK("https://creighton-primo.hosted.exlibrisgroup.com/primo-explore/search?tab=default_tab&amp;search_scope=EVERYTHING&amp;vid=01CRU&amp;lang=en_US&amp;offset=0&amp;query=any,contains,991002565449702656","Catalog Record")</f>
        <v/>
      </c>
      <c r="AT1127">
        <f>HYPERLINK("http://www.worldcat.org/oclc/33350834","WorldCat Record")</f>
        <v/>
      </c>
      <c r="AU1127" t="inlineStr">
        <is>
          <t>897905465:eng</t>
        </is>
      </c>
      <c r="AV1127" t="inlineStr">
        <is>
          <t>33350834</t>
        </is>
      </c>
      <c r="AW1127" t="inlineStr">
        <is>
          <t>991002565449702656</t>
        </is>
      </c>
      <c r="AX1127" t="inlineStr">
        <is>
          <t>991002565449702656</t>
        </is>
      </c>
      <c r="AY1127" t="inlineStr">
        <is>
          <t>2266549380002656</t>
        </is>
      </c>
      <c r="AZ1127" t="inlineStr">
        <is>
          <t>BOOK</t>
        </is>
      </c>
      <c r="BB1127" t="inlineStr">
        <is>
          <t>9780815315513</t>
        </is>
      </c>
      <c r="BC1127" t="inlineStr">
        <is>
          <t>32285002319100</t>
        </is>
      </c>
      <c r="BD1127" t="inlineStr">
        <is>
          <t>893786293</t>
        </is>
      </c>
    </row>
    <row r="1128">
      <c r="A1128" t="inlineStr">
        <is>
          <t>No</t>
        </is>
      </c>
      <c r="B1128" t="inlineStr">
        <is>
          <t>BF723.M54 M68</t>
        </is>
      </c>
      <c r="C1128" t="inlineStr">
        <is>
          <t>0                      BF 0723000M  54                 M  68</t>
        </is>
      </c>
      <c r="D1128" t="inlineStr">
        <is>
          <t>Moral development and socialization / [edited by] Myra Windmiller, Nadine Lambert, and Elliot Turiel.</t>
        </is>
      </c>
      <c r="F1128" t="inlineStr">
        <is>
          <t>No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L1128" t="inlineStr">
        <is>
          <t>Boston : Allyn and Bacon, c1980.</t>
        </is>
      </c>
      <c r="M1128" t="inlineStr">
        <is>
          <t>1980</t>
        </is>
      </c>
      <c r="O1128" t="inlineStr">
        <is>
          <t>eng</t>
        </is>
      </c>
      <c r="P1128" t="inlineStr">
        <is>
          <t>mau</t>
        </is>
      </c>
      <c r="R1128" t="inlineStr">
        <is>
          <t xml:space="preserve">BF </t>
        </is>
      </c>
      <c r="S1128" t="n">
        <v>5</v>
      </c>
      <c r="T1128" t="n">
        <v>5</v>
      </c>
      <c r="U1128" t="inlineStr">
        <is>
          <t>2001-04-02</t>
        </is>
      </c>
      <c r="V1128" t="inlineStr">
        <is>
          <t>2001-04-02</t>
        </is>
      </c>
      <c r="W1128" t="inlineStr">
        <is>
          <t>1993-04-07</t>
        </is>
      </c>
      <c r="X1128" t="inlineStr">
        <is>
          <t>1993-04-07</t>
        </is>
      </c>
      <c r="Y1128" t="n">
        <v>368</v>
      </c>
      <c r="Z1128" t="n">
        <v>280</v>
      </c>
      <c r="AA1128" t="n">
        <v>282</v>
      </c>
      <c r="AB1128" t="n">
        <v>3</v>
      </c>
      <c r="AC1128" t="n">
        <v>3</v>
      </c>
      <c r="AD1128" t="n">
        <v>13</v>
      </c>
      <c r="AE1128" t="n">
        <v>13</v>
      </c>
      <c r="AF1128" t="n">
        <v>3</v>
      </c>
      <c r="AG1128" t="n">
        <v>3</v>
      </c>
      <c r="AH1128" t="n">
        <v>3</v>
      </c>
      <c r="AI1128" t="n">
        <v>3</v>
      </c>
      <c r="AJ1128" t="n">
        <v>9</v>
      </c>
      <c r="AK1128" t="n">
        <v>9</v>
      </c>
      <c r="AL1128" t="n">
        <v>2</v>
      </c>
      <c r="AM1128" t="n">
        <v>2</v>
      </c>
      <c r="AN1128" t="n">
        <v>0</v>
      </c>
      <c r="AO1128" t="n">
        <v>0</v>
      </c>
      <c r="AP1128" t="inlineStr">
        <is>
          <t>No</t>
        </is>
      </c>
      <c r="AQ1128" t="inlineStr">
        <is>
          <t>Yes</t>
        </is>
      </c>
      <c r="AR1128">
        <f>HYPERLINK("http://catalog.hathitrust.org/Record/000717751","HathiTrust Record")</f>
        <v/>
      </c>
      <c r="AS1128">
        <f>HYPERLINK("https://creighton-primo.hosted.exlibrisgroup.com/primo-explore/search?tab=default_tab&amp;search_scope=EVERYTHING&amp;vid=01CRU&amp;lang=en_US&amp;offset=0&amp;query=any,contains,991004839649702656","Catalog Record")</f>
        <v/>
      </c>
      <c r="AT1128">
        <f>HYPERLINK("http://www.worldcat.org/oclc/5495017","WorldCat Record")</f>
        <v/>
      </c>
      <c r="AU1128" t="inlineStr">
        <is>
          <t>355856715:eng</t>
        </is>
      </c>
      <c r="AV1128" t="inlineStr">
        <is>
          <t>5495017</t>
        </is>
      </c>
      <c r="AW1128" t="inlineStr">
        <is>
          <t>991004839649702656</t>
        </is>
      </c>
      <c r="AX1128" t="inlineStr">
        <is>
          <t>991004839649702656</t>
        </is>
      </c>
      <c r="AY1128" t="inlineStr">
        <is>
          <t>2265616540002656</t>
        </is>
      </c>
      <c r="AZ1128" t="inlineStr">
        <is>
          <t>BOOK</t>
        </is>
      </c>
      <c r="BB1128" t="inlineStr">
        <is>
          <t>9780205068449</t>
        </is>
      </c>
      <c r="BC1128" t="inlineStr">
        <is>
          <t>32285001604825</t>
        </is>
      </c>
      <c r="BD1128" t="inlineStr">
        <is>
          <t>893706898</t>
        </is>
      </c>
    </row>
    <row r="1129">
      <c r="A1129" t="inlineStr">
        <is>
          <t>No</t>
        </is>
      </c>
      <c r="B1129" t="inlineStr">
        <is>
          <t>BF723.M54 M69 1984</t>
        </is>
      </c>
      <c r="C1129" t="inlineStr">
        <is>
          <t>0                      BF 0723000M  54                 M  69          1984</t>
        </is>
      </c>
      <c r="D1129" t="inlineStr">
        <is>
          <t>Morality, moral behavior, and moral development / [edited by] William M. Kurtines and Jacob L. Gewirtz.</t>
        </is>
      </c>
      <c r="F1129" t="inlineStr">
        <is>
          <t>No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L1129" t="inlineStr">
        <is>
          <t>New York : Wiley, 1984.</t>
        </is>
      </c>
      <c r="M1129" t="inlineStr">
        <is>
          <t>1984</t>
        </is>
      </c>
      <c r="O1129" t="inlineStr">
        <is>
          <t>eng</t>
        </is>
      </c>
      <c r="P1129" t="inlineStr">
        <is>
          <t>nyu</t>
        </is>
      </c>
      <c r="R1129" t="inlineStr">
        <is>
          <t xml:space="preserve">BF </t>
        </is>
      </c>
      <c r="S1129" t="n">
        <v>14</v>
      </c>
      <c r="T1129" t="n">
        <v>14</v>
      </c>
      <c r="U1129" t="inlineStr">
        <is>
          <t>2005-11-15</t>
        </is>
      </c>
      <c r="V1129" t="inlineStr">
        <is>
          <t>2005-11-15</t>
        </is>
      </c>
      <c r="W1129" t="inlineStr">
        <is>
          <t>1990-04-25</t>
        </is>
      </c>
      <c r="X1129" t="inlineStr">
        <is>
          <t>1990-04-25</t>
        </is>
      </c>
      <c r="Y1129" t="n">
        <v>701</v>
      </c>
      <c r="Z1129" t="n">
        <v>563</v>
      </c>
      <c r="AA1129" t="n">
        <v>570</v>
      </c>
      <c r="AB1129" t="n">
        <v>6</v>
      </c>
      <c r="AC1129" t="n">
        <v>6</v>
      </c>
      <c r="AD1129" t="n">
        <v>34</v>
      </c>
      <c r="AE1129" t="n">
        <v>34</v>
      </c>
      <c r="AF1129" t="n">
        <v>15</v>
      </c>
      <c r="AG1129" t="n">
        <v>15</v>
      </c>
      <c r="AH1129" t="n">
        <v>5</v>
      </c>
      <c r="AI1129" t="n">
        <v>5</v>
      </c>
      <c r="AJ1129" t="n">
        <v>17</v>
      </c>
      <c r="AK1129" t="n">
        <v>17</v>
      </c>
      <c r="AL1129" t="n">
        <v>5</v>
      </c>
      <c r="AM1129" t="n">
        <v>5</v>
      </c>
      <c r="AN1129" t="n">
        <v>1</v>
      </c>
      <c r="AO1129" t="n">
        <v>1</v>
      </c>
      <c r="AP1129" t="inlineStr">
        <is>
          <t>No</t>
        </is>
      </c>
      <c r="AQ1129" t="inlineStr">
        <is>
          <t>Yes</t>
        </is>
      </c>
      <c r="AR1129">
        <f>HYPERLINK("http://catalog.hathitrust.org/Record/000286173","HathiTrust Record")</f>
        <v/>
      </c>
      <c r="AS1129">
        <f>HYPERLINK("https://creighton-primo.hosted.exlibrisgroup.com/primo-explore/search?tab=default_tab&amp;search_scope=EVERYTHING&amp;vid=01CRU&amp;lang=en_US&amp;offset=0&amp;query=any,contains,991000269949702656","Catalog Record")</f>
        <v/>
      </c>
      <c r="AT1129">
        <f>HYPERLINK("http://www.worldcat.org/oclc/9853577","WorldCat Record")</f>
        <v/>
      </c>
      <c r="AU1129" t="inlineStr">
        <is>
          <t>354207643:eng</t>
        </is>
      </c>
      <c r="AV1129" t="inlineStr">
        <is>
          <t>9853577</t>
        </is>
      </c>
      <c r="AW1129" t="inlineStr">
        <is>
          <t>991000269949702656</t>
        </is>
      </c>
      <c r="AX1129" t="inlineStr">
        <is>
          <t>991000269949702656</t>
        </is>
      </c>
      <c r="AY1129" t="inlineStr">
        <is>
          <t>2264042570002656</t>
        </is>
      </c>
      <c r="AZ1129" t="inlineStr">
        <is>
          <t>BOOK</t>
        </is>
      </c>
      <c r="BB1129" t="inlineStr">
        <is>
          <t>9780471887409</t>
        </is>
      </c>
      <c r="BC1129" t="inlineStr">
        <is>
          <t>32285000131630</t>
        </is>
      </c>
      <c r="BD1129" t="inlineStr">
        <is>
          <t>893521549</t>
        </is>
      </c>
    </row>
    <row r="1130">
      <c r="A1130" t="inlineStr">
        <is>
          <t>No</t>
        </is>
      </c>
      <c r="B1130" t="inlineStr">
        <is>
          <t>BF723.M55 S56 1983</t>
        </is>
      </c>
      <c r="C1130" t="inlineStr">
        <is>
          <t>0                      BF 0723000M  55                 S  56          1983</t>
        </is>
      </c>
      <c r="D1130" t="inlineStr">
        <is>
          <t>Maternal bonding / Wladyslaw Sluckin, Martin Herbert and Alice Sluckin.</t>
        </is>
      </c>
      <c r="F1130" t="inlineStr">
        <is>
          <t>No</t>
        </is>
      </c>
      <c r="G1130" t="inlineStr">
        <is>
          <t>1</t>
        </is>
      </c>
      <c r="H1130" t="inlineStr">
        <is>
          <t>No</t>
        </is>
      </c>
      <c r="I1130" t="inlineStr">
        <is>
          <t>No</t>
        </is>
      </c>
      <c r="J1130" t="inlineStr">
        <is>
          <t>0</t>
        </is>
      </c>
      <c r="K1130" t="inlineStr">
        <is>
          <t>Sluckin, W.</t>
        </is>
      </c>
      <c r="L1130" t="inlineStr">
        <is>
          <t>Oxford, England : Blackwell, 1983.</t>
        </is>
      </c>
      <c r="M1130" t="inlineStr">
        <is>
          <t>1983</t>
        </is>
      </c>
      <c r="O1130" t="inlineStr">
        <is>
          <t>eng</t>
        </is>
      </c>
      <c r="P1130" t="inlineStr">
        <is>
          <t>enk</t>
        </is>
      </c>
      <c r="R1130" t="inlineStr">
        <is>
          <t xml:space="preserve">BF </t>
        </is>
      </c>
      <c r="S1130" t="n">
        <v>12</v>
      </c>
      <c r="T1130" t="n">
        <v>12</v>
      </c>
      <c r="U1130" t="inlineStr">
        <is>
          <t>2006-11-20</t>
        </is>
      </c>
      <c r="V1130" t="inlineStr">
        <is>
          <t>2006-11-20</t>
        </is>
      </c>
      <c r="W1130" t="inlineStr">
        <is>
          <t>1993-04-07</t>
        </is>
      </c>
      <c r="X1130" t="inlineStr">
        <is>
          <t>1993-04-07</t>
        </is>
      </c>
      <c r="Y1130" t="n">
        <v>423</v>
      </c>
      <c r="Z1130" t="n">
        <v>265</v>
      </c>
      <c r="AA1130" t="n">
        <v>270</v>
      </c>
      <c r="AB1130" t="n">
        <v>3</v>
      </c>
      <c r="AC1130" t="n">
        <v>3</v>
      </c>
      <c r="AD1130" t="n">
        <v>9</v>
      </c>
      <c r="AE1130" t="n">
        <v>9</v>
      </c>
      <c r="AF1130" t="n">
        <v>1</v>
      </c>
      <c r="AG1130" t="n">
        <v>1</v>
      </c>
      <c r="AH1130" t="n">
        <v>4</v>
      </c>
      <c r="AI1130" t="n">
        <v>4</v>
      </c>
      <c r="AJ1130" t="n">
        <v>5</v>
      </c>
      <c r="AK1130" t="n">
        <v>5</v>
      </c>
      <c r="AL1130" t="n">
        <v>2</v>
      </c>
      <c r="AM1130" t="n">
        <v>2</v>
      </c>
      <c r="AN1130" t="n">
        <v>0</v>
      </c>
      <c r="AO1130" t="n">
        <v>0</v>
      </c>
      <c r="AP1130" t="inlineStr">
        <is>
          <t>No</t>
        </is>
      </c>
      <c r="AQ1130" t="inlineStr">
        <is>
          <t>No</t>
        </is>
      </c>
      <c r="AS1130">
        <f>HYPERLINK("https://creighton-primo.hosted.exlibrisgroup.com/primo-explore/search?tab=default_tab&amp;search_scope=EVERYTHING&amp;vid=01CRU&amp;lang=en_US&amp;offset=0&amp;query=any,contains,991000260549702656","Catalog Record")</f>
        <v/>
      </c>
      <c r="AT1130">
        <f>HYPERLINK("http://www.worldcat.org/oclc/9807799","WorldCat Record")</f>
        <v/>
      </c>
      <c r="AU1130" t="inlineStr">
        <is>
          <t>889126:eng</t>
        </is>
      </c>
      <c r="AV1130" t="inlineStr">
        <is>
          <t>9807799</t>
        </is>
      </c>
      <c r="AW1130" t="inlineStr">
        <is>
          <t>991000260549702656</t>
        </is>
      </c>
      <c r="AX1130" t="inlineStr">
        <is>
          <t>991000260549702656</t>
        </is>
      </c>
      <c r="AY1130" t="inlineStr">
        <is>
          <t>2263757390002656</t>
        </is>
      </c>
      <c r="AZ1130" t="inlineStr">
        <is>
          <t>BOOK</t>
        </is>
      </c>
      <c r="BB1130" t="inlineStr">
        <is>
          <t>9780631133599</t>
        </is>
      </c>
      <c r="BC1130" t="inlineStr">
        <is>
          <t>32285001604841</t>
        </is>
      </c>
      <c r="BD1130" t="inlineStr">
        <is>
          <t>893601619</t>
        </is>
      </c>
    </row>
    <row r="1131">
      <c r="A1131" t="inlineStr">
        <is>
          <t>No</t>
        </is>
      </c>
      <c r="B1131" t="inlineStr">
        <is>
          <t>BF723.M6 D48 1982</t>
        </is>
      </c>
      <c r="C1131" t="inlineStr">
        <is>
          <t>0                      BF 0723000M  6                  D  48          1982</t>
        </is>
      </c>
      <c r="D1131" t="inlineStr">
        <is>
          <t>The Development of movement control and coordination / edited by J.A. Scott Kelso and Jane E. Clark.</t>
        </is>
      </c>
      <c r="F1131" t="inlineStr">
        <is>
          <t>No</t>
        </is>
      </c>
      <c r="G1131" t="inlineStr">
        <is>
          <t>1</t>
        </is>
      </c>
      <c r="H1131" t="inlineStr">
        <is>
          <t>Yes</t>
        </is>
      </c>
      <c r="I1131" t="inlineStr">
        <is>
          <t>No</t>
        </is>
      </c>
      <c r="J1131" t="inlineStr">
        <is>
          <t>0</t>
        </is>
      </c>
      <c r="L1131" t="inlineStr">
        <is>
          <t>Chichester [West Sussex] ; New York : Wiley, c1982.</t>
        </is>
      </c>
      <c r="M1131" t="inlineStr">
        <is>
          <t>1982</t>
        </is>
      </c>
      <c r="O1131" t="inlineStr">
        <is>
          <t>eng</t>
        </is>
      </c>
      <c r="P1131" t="inlineStr">
        <is>
          <t>enk</t>
        </is>
      </c>
      <c r="Q1131" t="inlineStr">
        <is>
          <t>Developmental psychology</t>
        </is>
      </c>
      <c r="R1131" t="inlineStr">
        <is>
          <t xml:space="preserve">BF </t>
        </is>
      </c>
      <c r="S1131" t="n">
        <v>2</v>
      </c>
      <c r="T1131" t="n">
        <v>7</v>
      </c>
      <c r="U1131" t="inlineStr">
        <is>
          <t>1996-12-02</t>
        </is>
      </c>
      <c r="V1131" t="inlineStr">
        <is>
          <t>2006-05-21</t>
        </is>
      </c>
      <c r="W1131" t="inlineStr">
        <is>
          <t>1993-04-07</t>
        </is>
      </c>
      <c r="X1131" t="inlineStr">
        <is>
          <t>1993-04-07</t>
        </is>
      </c>
      <c r="Y1131" t="n">
        <v>399</v>
      </c>
      <c r="Z1131" t="n">
        <v>278</v>
      </c>
      <c r="AA1131" t="n">
        <v>284</v>
      </c>
      <c r="AB1131" t="n">
        <v>4</v>
      </c>
      <c r="AC1131" t="n">
        <v>4</v>
      </c>
      <c r="AD1131" t="n">
        <v>11</v>
      </c>
      <c r="AE1131" t="n">
        <v>11</v>
      </c>
      <c r="AF1131" t="n">
        <v>2</v>
      </c>
      <c r="AG1131" t="n">
        <v>2</v>
      </c>
      <c r="AH1131" t="n">
        <v>4</v>
      </c>
      <c r="AI1131" t="n">
        <v>4</v>
      </c>
      <c r="AJ1131" t="n">
        <v>5</v>
      </c>
      <c r="AK1131" t="n">
        <v>5</v>
      </c>
      <c r="AL1131" t="n">
        <v>2</v>
      </c>
      <c r="AM1131" t="n">
        <v>2</v>
      </c>
      <c r="AN1131" t="n">
        <v>0</v>
      </c>
      <c r="AO1131" t="n">
        <v>0</v>
      </c>
      <c r="AP1131" t="inlineStr">
        <is>
          <t>No</t>
        </is>
      </c>
      <c r="AQ1131" t="inlineStr">
        <is>
          <t>Yes</t>
        </is>
      </c>
      <c r="AR1131">
        <f>HYPERLINK("http://catalog.hathitrust.org/Record/000764835","HathiTrust Record")</f>
        <v/>
      </c>
      <c r="AS1131">
        <f>HYPERLINK("https://creighton-primo.hosted.exlibrisgroup.com/primo-explore/search?tab=default_tab&amp;search_scope=EVERYTHING&amp;vid=01CRU&amp;lang=en_US&amp;offset=0&amp;query=any,contains,991001784779702656","Catalog Record")</f>
        <v/>
      </c>
      <c r="AT1131">
        <f>HYPERLINK("http://www.worldcat.org/oclc/7795126","WorldCat Record")</f>
        <v/>
      </c>
      <c r="AU1131" t="inlineStr">
        <is>
          <t>351895316:eng</t>
        </is>
      </c>
      <c r="AV1131" t="inlineStr">
        <is>
          <t>7795126</t>
        </is>
      </c>
      <c r="AW1131" t="inlineStr">
        <is>
          <t>991001784779702656</t>
        </is>
      </c>
      <c r="AX1131" t="inlineStr">
        <is>
          <t>991001784779702656</t>
        </is>
      </c>
      <c r="AY1131" t="inlineStr">
        <is>
          <t>2267926850002656</t>
        </is>
      </c>
      <c r="AZ1131" t="inlineStr">
        <is>
          <t>BOOK</t>
        </is>
      </c>
      <c r="BB1131" t="inlineStr">
        <is>
          <t>9780471100485</t>
        </is>
      </c>
      <c r="BC1131" t="inlineStr">
        <is>
          <t>32285001604858</t>
        </is>
      </c>
      <c r="BD1131" t="inlineStr">
        <is>
          <t>893238339</t>
        </is>
      </c>
    </row>
    <row r="1132">
      <c r="A1132" t="inlineStr">
        <is>
          <t>No</t>
        </is>
      </c>
      <c r="B1132" t="inlineStr">
        <is>
          <t>BF723.P25 B4 1978</t>
        </is>
      </c>
      <c r="C1132" t="inlineStr">
        <is>
          <t>0                      BF 0723000P  25                 B  4           1978</t>
        </is>
      </c>
      <c r="D1132" t="inlineStr">
        <is>
          <t>Social issues in developmental psychology / Helen Bee.</t>
        </is>
      </c>
      <c r="F1132" t="inlineStr">
        <is>
          <t>No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K1132" t="inlineStr">
        <is>
          <t>Bee, Helen L., 1939- compiler.</t>
        </is>
      </c>
      <c r="L1132" t="inlineStr">
        <is>
          <t>New York : Harper &amp; Row, c1978.</t>
        </is>
      </c>
      <c r="M1132" t="inlineStr">
        <is>
          <t>1978</t>
        </is>
      </c>
      <c r="N1132" t="inlineStr">
        <is>
          <t>2d ed.</t>
        </is>
      </c>
      <c r="O1132" t="inlineStr">
        <is>
          <t>eng</t>
        </is>
      </c>
      <c r="P1132" t="inlineStr">
        <is>
          <t>nyu</t>
        </is>
      </c>
      <c r="R1132" t="inlineStr">
        <is>
          <t xml:space="preserve">BF </t>
        </is>
      </c>
      <c r="S1132" t="n">
        <v>15</v>
      </c>
      <c r="T1132" t="n">
        <v>15</v>
      </c>
      <c r="U1132" t="inlineStr">
        <is>
          <t>2009-03-27</t>
        </is>
      </c>
      <c r="V1132" t="inlineStr">
        <is>
          <t>2009-03-27</t>
        </is>
      </c>
      <c r="W1132" t="inlineStr">
        <is>
          <t>1991-12-09</t>
        </is>
      </c>
      <c r="X1132" t="inlineStr">
        <is>
          <t>1991-12-09</t>
        </is>
      </c>
      <c r="Y1132" t="n">
        <v>297</v>
      </c>
      <c r="Z1132" t="n">
        <v>200</v>
      </c>
      <c r="AA1132" t="n">
        <v>422</v>
      </c>
      <c r="AB1132" t="n">
        <v>3</v>
      </c>
      <c r="AC1132" t="n">
        <v>3</v>
      </c>
      <c r="AD1132" t="n">
        <v>7</v>
      </c>
      <c r="AE1132" t="n">
        <v>12</v>
      </c>
      <c r="AF1132" t="n">
        <v>2</v>
      </c>
      <c r="AG1132" t="n">
        <v>2</v>
      </c>
      <c r="AH1132" t="n">
        <v>1</v>
      </c>
      <c r="AI1132" t="n">
        <v>2</v>
      </c>
      <c r="AJ1132" t="n">
        <v>4</v>
      </c>
      <c r="AK1132" t="n">
        <v>8</v>
      </c>
      <c r="AL1132" t="n">
        <v>1</v>
      </c>
      <c r="AM1132" t="n">
        <v>1</v>
      </c>
      <c r="AN1132" t="n">
        <v>0</v>
      </c>
      <c r="AO1132" t="n">
        <v>0</v>
      </c>
      <c r="AP1132" t="inlineStr">
        <is>
          <t>No</t>
        </is>
      </c>
      <c r="AQ1132" t="inlineStr">
        <is>
          <t>Yes</t>
        </is>
      </c>
      <c r="AR1132">
        <f>HYPERLINK("http://catalog.hathitrust.org/Record/009917467","HathiTrust Record")</f>
        <v/>
      </c>
      <c r="AS1132">
        <f>HYPERLINK("https://creighton-primo.hosted.exlibrisgroup.com/primo-explore/search?tab=default_tab&amp;search_scope=EVERYTHING&amp;vid=01CRU&amp;lang=en_US&amp;offset=0&amp;query=any,contains,991004325199702656","Catalog Record")</f>
        <v/>
      </c>
      <c r="AT1132">
        <f>HYPERLINK("http://www.worldcat.org/oclc/3034303","WorldCat Record")</f>
        <v/>
      </c>
      <c r="AU1132" t="inlineStr">
        <is>
          <t>1750474:eng</t>
        </is>
      </c>
      <c r="AV1132" t="inlineStr">
        <is>
          <t>3034303</t>
        </is>
      </c>
      <c r="AW1132" t="inlineStr">
        <is>
          <t>991004325199702656</t>
        </is>
      </c>
      <c r="AX1132" t="inlineStr">
        <is>
          <t>991004325199702656</t>
        </is>
      </c>
      <c r="AY1132" t="inlineStr">
        <is>
          <t>2261365310002656</t>
        </is>
      </c>
      <c r="AZ1132" t="inlineStr">
        <is>
          <t>BOOK</t>
        </is>
      </c>
      <c r="BB1132" t="inlineStr">
        <is>
          <t>9780060405847</t>
        </is>
      </c>
      <c r="BC1132" t="inlineStr">
        <is>
          <t>32285000829753</t>
        </is>
      </c>
      <c r="BD1132" t="inlineStr">
        <is>
          <t>893442485</t>
        </is>
      </c>
    </row>
    <row r="1133">
      <c r="A1133" t="inlineStr">
        <is>
          <t>No</t>
        </is>
      </c>
      <c r="B1133" t="inlineStr">
        <is>
          <t>BF723.P25 B695</t>
        </is>
      </c>
      <c r="C1133" t="inlineStr">
        <is>
          <t>0                      BF 0723000P  25                 B  695</t>
        </is>
      </c>
      <c r="D1133" t="inlineStr">
        <is>
          <t>Mothers, fathers, and children : explorations in the formation of character in the first seven years / Sylvia Brody and Sidney Axelrad, in association with Ethel Horn, Marsha Moroh, Marvin Taylor.</t>
        </is>
      </c>
      <c r="F1133" t="inlineStr">
        <is>
          <t>No</t>
        </is>
      </c>
      <c r="G1133" t="inlineStr">
        <is>
          <t>1</t>
        </is>
      </c>
      <c r="H1133" t="inlineStr">
        <is>
          <t>Yes</t>
        </is>
      </c>
      <c r="I1133" t="inlineStr">
        <is>
          <t>No</t>
        </is>
      </c>
      <c r="J1133" t="inlineStr">
        <is>
          <t>0</t>
        </is>
      </c>
      <c r="K1133" t="inlineStr">
        <is>
          <t>Brody, Sylvia, 1914-</t>
        </is>
      </c>
      <c r="L1133" t="inlineStr">
        <is>
          <t>New York : International Universities Press, c1978.</t>
        </is>
      </c>
      <c r="M1133" t="inlineStr">
        <is>
          <t>1978</t>
        </is>
      </c>
      <c r="O1133" t="inlineStr">
        <is>
          <t>eng</t>
        </is>
      </c>
      <c r="P1133" t="inlineStr">
        <is>
          <t>nyu</t>
        </is>
      </c>
      <c r="R1133" t="inlineStr">
        <is>
          <t xml:space="preserve">BF </t>
        </is>
      </c>
      <c r="S1133" t="n">
        <v>9</v>
      </c>
      <c r="T1133" t="n">
        <v>9</v>
      </c>
      <c r="U1133" t="inlineStr">
        <is>
          <t>2004-10-25</t>
        </is>
      </c>
      <c r="V1133" t="inlineStr">
        <is>
          <t>2004-10-25</t>
        </is>
      </c>
      <c r="W1133" t="inlineStr">
        <is>
          <t>1991-12-13</t>
        </is>
      </c>
      <c r="X1133" t="inlineStr">
        <is>
          <t>1991-12-13</t>
        </is>
      </c>
      <c r="Y1133" t="n">
        <v>541</v>
      </c>
      <c r="Z1133" t="n">
        <v>471</v>
      </c>
      <c r="AA1133" t="n">
        <v>473</v>
      </c>
      <c r="AB1133" t="n">
        <v>4</v>
      </c>
      <c r="AC1133" t="n">
        <v>4</v>
      </c>
      <c r="AD1133" t="n">
        <v>16</v>
      </c>
      <c r="AE1133" t="n">
        <v>16</v>
      </c>
      <c r="AF1133" t="n">
        <v>5</v>
      </c>
      <c r="AG1133" t="n">
        <v>5</v>
      </c>
      <c r="AH1133" t="n">
        <v>4</v>
      </c>
      <c r="AI1133" t="n">
        <v>4</v>
      </c>
      <c r="AJ1133" t="n">
        <v>10</v>
      </c>
      <c r="AK1133" t="n">
        <v>10</v>
      </c>
      <c r="AL1133" t="n">
        <v>1</v>
      </c>
      <c r="AM1133" t="n">
        <v>1</v>
      </c>
      <c r="AN1133" t="n">
        <v>0</v>
      </c>
      <c r="AO1133" t="n">
        <v>0</v>
      </c>
      <c r="AP1133" t="inlineStr">
        <is>
          <t>No</t>
        </is>
      </c>
      <c r="AQ1133" t="inlineStr">
        <is>
          <t>Yes</t>
        </is>
      </c>
      <c r="AR1133">
        <f>HYPERLINK("http://catalog.hathitrust.org/Record/000138766","HathiTrust Record")</f>
        <v/>
      </c>
      <c r="AS1133">
        <f>HYPERLINK("https://creighton-primo.hosted.exlibrisgroup.com/primo-explore/search?tab=default_tab&amp;search_scope=EVERYTHING&amp;vid=01CRU&amp;lang=en_US&amp;offset=0&amp;query=any,contains,991001785009702656","Catalog Record")</f>
        <v/>
      </c>
      <c r="AT1133">
        <f>HYPERLINK("http://www.worldcat.org/oclc/3631390","WorldCat Record")</f>
        <v/>
      </c>
      <c r="AU1133" t="inlineStr">
        <is>
          <t>308741215:eng</t>
        </is>
      </c>
      <c r="AV1133" t="inlineStr">
        <is>
          <t>3631390</t>
        </is>
      </c>
      <c r="AW1133" t="inlineStr">
        <is>
          <t>991001785009702656</t>
        </is>
      </c>
      <c r="AX1133" t="inlineStr">
        <is>
          <t>991001785009702656</t>
        </is>
      </c>
      <c r="AY1133" t="inlineStr">
        <is>
          <t>2259420080002656</t>
        </is>
      </c>
      <c r="AZ1133" t="inlineStr">
        <is>
          <t>BOOK</t>
        </is>
      </c>
      <c r="BB1133" t="inlineStr">
        <is>
          <t>9780823634620</t>
        </is>
      </c>
      <c r="BC1133" t="inlineStr">
        <is>
          <t>32285000877257</t>
        </is>
      </c>
      <c r="BD1133" t="inlineStr">
        <is>
          <t>893346778</t>
        </is>
      </c>
    </row>
    <row r="1134">
      <c r="A1134" t="inlineStr">
        <is>
          <t>No</t>
        </is>
      </c>
      <c r="B1134" t="inlineStr">
        <is>
          <t>BF723.P25 P33 1983</t>
        </is>
      </c>
      <c r="C1134" t="inlineStr">
        <is>
          <t>0                      BF 0723000P  25                 P  33          1983</t>
        </is>
      </c>
      <c r="D1134" t="inlineStr">
        <is>
          <t>Parental overprotection : a risk factor in psychosocial development / Gordon Parker.</t>
        </is>
      </c>
      <c r="F1134" t="inlineStr">
        <is>
          <t>No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K1134" t="inlineStr">
        <is>
          <t>Parker, Gordon, 1942-</t>
        </is>
      </c>
      <c r="L1134" t="inlineStr">
        <is>
          <t>New York : Grune &amp; Stratton, c1983.</t>
        </is>
      </c>
      <c r="M1134" t="inlineStr">
        <is>
          <t>1983</t>
        </is>
      </c>
      <c r="O1134" t="inlineStr">
        <is>
          <t>eng</t>
        </is>
      </c>
      <c r="P1134" t="inlineStr">
        <is>
          <t>nyu</t>
        </is>
      </c>
      <c r="R1134" t="inlineStr">
        <is>
          <t xml:space="preserve">BF </t>
        </is>
      </c>
      <c r="S1134" t="n">
        <v>7</v>
      </c>
      <c r="T1134" t="n">
        <v>7</v>
      </c>
      <c r="U1134" t="inlineStr">
        <is>
          <t>2005-04-15</t>
        </is>
      </c>
      <c r="V1134" t="inlineStr">
        <is>
          <t>2005-04-15</t>
        </is>
      </c>
      <c r="W1134" t="inlineStr">
        <is>
          <t>1993-04-07</t>
        </is>
      </c>
      <c r="X1134" t="inlineStr">
        <is>
          <t>1993-04-07</t>
        </is>
      </c>
      <c r="Y1134" t="n">
        <v>321</v>
      </c>
      <c r="Z1134" t="n">
        <v>232</v>
      </c>
      <c r="AA1134" t="n">
        <v>234</v>
      </c>
      <c r="AB1134" t="n">
        <v>3</v>
      </c>
      <c r="AC1134" t="n">
        <v>3</v>
      </c>
      <c r="AD1134" t="n">
        <v>9</v>
      </c>
      <c r="AE1134" t="n">
        <v>9</v>
      </c>
      <c r="AF1134" t="n">
        <v>2</v>
      </c>
      <c r="AG1134" t="n">
        <v>2</v>
      </c>
      <c r="AH1134" t="n">
        <v>2</v>
      </c>
      <c r="AI1134" t="n">
        <v>2</v>
      </c>
      <c r="AJ1134" t="n">
        <v>6</v>
      </c>
      <c r="AK1134" t="n">
        <v>6</v>
      </c>
      <c r="AL1134" t="n">
        <v>2</v>
      </c>
      <c r="AM1134" t="n">
        <v>2</v>
      </c>
      <c r="AN1134" t="n">
        <v>0</v>
      </c>
      <c r="AO1134" t="n">
        <v>0</v>
      </c>
      <c r="AP1134" t="inlineStr">
        <is>
          <t>No</t>
        </is>
      </c>
      <c r="AQ1134" t="inlineStr">
        <is>
          <t>Yes</t>
        </is>
      </c>
      <c r="AR1134">
        <f>HYPERLINK("http://catalog.hathitrust.org/Record/000285485","HathiTrust Record")</f>
        <v/>
      </c>
      <c r="AS1134">
        <f>HYPERLINK("https://creighton-primo.hosted.exlibrisgroup.com/primo-explore/search?tab=default_tab&amp;search_scope=EVERYTHING&amp;vid=01CRU&amp;lang=en_US&amp;offset=0&amp;query=any,contains,991000339249702656","Catalog Record")</f>
        <v/>
      </c>
      <c r="AT1134">
        <f>HYPERLINK("http://www.worldcat.org/oclc/10248301","WorldCat Record")</f>
        <v/>
      </c>
      <c r="AU1134" t="inlineStr">
        <is>
          <t>836647131:eng</t>
        </is>
      </c>
      <c r="AV1134" t="inlineStr">
        <is>
          <t>10248301</t>
        </is>
      </c>
      <c r="AW1134" t="inlineStr">
        <is>
          <t>991000339249702656</t>
        </is>
      </c>
      <c r="AX1134" t="inlineStr">
        <is>
          <t>991000339249702656</t>
        </is>
      </c>
      <c r="AY1134" t="inlineStr">
        <is>
          <t>2255512720002656</t>
        </is>
      </c>
      <c r="AZ1134" t="inlineStr">
        <is>
          <t>BOOK</t>
        </is>
      </c>
      <c r="BB1134" t="inlineStr">
        <is>
          <t>9780808915577</t>
        </is>
      </c>
      <c r="BC1134" t="inlineStr">
        <is>
          <t>32285001604882</t>
        </is>
      </c>
      <c r="BD1134" t="inlineStr">
        <is>
          <t>893877957</t>
        </is>
      </c>
    </row>
    <row r="1135">
      <c r="A1135" t="inlineStr">
        <is>
          <t>No</t>
        </is>
      </c>
      <c r="B1135" t="inlineStr">
        <is>
          <t>BF723.P25 S95 1975</t>
        </is>
      </c>
      <c r="C1135" t="inlineStr">
        <is>
          <t>0                      BF 0723000P  25                 S  95          1975</t>
        </is>
      </c>
      <c r="D1135" t="inlineStr">
        <is>
          <t>Attachment behavior : [proceedings of the Fifth Annual Symposium on Communication and Affect held at Erindale College, University of Toronto, March 1975] / edited by Thomas Alloway, Patricia Pliner, and Lester Krames.</t>
        </is>
      </c>
      <c r="F1135" t="inlineStr">
        <is>
          <t>No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K1135" t="inlineStr">
        <is>
          <t>Symposium on Communication and Affect (5th : 1975 : Erindale College)</t>
        </is>
      </c>
      <c r="L1135" t="inlineStr">
        <is>
          <t>New York : Plenum Press, 1977.</t>
        </is>
      </c>
      <c r="M1135" t="inlineStr">
        <is>
          <t>1977</t>
        </is>
      </c>
      <c r="O1135" t="inlineStr">
        <is>
          <t>eng</t>
        </is>
      </c>
      <c r="P1135" t="inlineStr">
        <is>
          <t>nyu</t>
        </is>
      </c>
      <c r="Q1135" t="inlineStr">
        <is>
          <t>Advances in the study of communication and affect ; v. 3</t>
        </is>
      </c>
      <c r="R1135" t="inlineStr">
        <is>
          <t xml:space="preserve">BF </t>
        </is>
      </c>
      <c r="S1135" t="n">
        <v>7</v>
      </c>
      <c r="T1135" t="n">
        <v>7</v>
      </c>
      <c r="U1135" t="inlineStr">
        <is>
          <t>2008-11-17</t>
        </is>
      </c>
      <c r="V1135" t="inlineStr">
        <is>
          <t>2008-11-17</t>
        </is>
      </c>
      <c r="W1135" t="inlineStr">
        <is>
          <t>1993-04-15</t>
        </is>
      </c>
      <c r="X1135" t="inlineStr">
        <is>
          <t>1993-04-15</t>
        </is>
      </c>
      <c r="Y1135" t="n">
        <v>521</v>
      </c>
      <c r="Z1135" t="n">
        <v>381</v>
      </c>
      <c r="AA1135" t="n">
        <v>411</v>
      </c>
      <c r="AB1135" t="n">
        <v>1</v>
      </c>
      <c r="AC1135" t="n">
        <v>1</v>
      </c>
      <c r="AD1135" t="n">
        <v>18</v>
      </c>
      <c r="AE1135" t="n">
        <v>20</v>
      </c>
      <c r="AF1135" t="n">
        <v>7</v>
      </c>
      <c r="AG1135" t="n">
        <v>9</v>
      </c>
      <c r="AH1135" t="n">
        <v>7</v>
      </c>
      <c r="AI1135" t="n">
        <v>7</v>
      </c>
      <c r="AJ1135" t="n">
        <v>12</v>
      </c>
      <c r="AK1135" t="n">
        <v>13</v>
      </c>
      <c r="AL1135" t="n">
        <v>0</v>
      </c>
      <c r="AM1135" t="n">
        <v>0</v>
      </c>
      <c r="AN1135" t="n">
        <v>0</v>
      </c>
      <c r="AO1135" t="n">
        <v>0</v>
      </c>
      <c r="AP1135" t="inlineStr">
        <is>
          <t>No</t>
        </is>
      </c>
      <c r="AQ1135" t="inlineStr">
        <is>
          <t>Yes</t>
        </is>
      </c>
      <c r="AR1135">
        <f>HYPERLINK("http://catalog.hathitrust.org/Record/000083029","HathiTrust Record")</f>
        <v/>
      </c>
      <c r="AS1135">
        <f>HYPERLINK("https://creighton-primo.hosted.exlibrisgroup.com/primo-explore/search?tab=default_tab&amp;search_scope=EVERYTHING&amp;vid=01CRU&amp;lang=en_US&amp;offset=0&amp;query=any,contains,991004145369702656","Catalog Record")</f>
        <v/>
      </c>
      <c r="AT1135">
        <f>HYPERLINK("http://www.worldcat.org/oclc/2508299","WorldCat Record")</f>
        <v/>
      </c>
      <c r="AU1135" t="inlineStr">
        <is>
          <t>356003853:eng</t>
        </is>
      </c>
      <c r="AV1135" t="inlineStr">
        <is>
          <t>2508299</t>
        </is>
      </c>
      <c r="AW1135" t="inlineStr">
        <is>
          <t>991004145369702656</t>
        </is>
      </c>
      <c r="AX1135" t="inlineStr">
        <is>
          <t>991004145369702656</t>
        </is>
      </c>
      <c r="AY1135" t="inlineStr">
        <is>
          <t>2255049520002656</t>
        </is>
      </c>
      <c r="AZ1135" t="inlineStr">
        <is>
          <t>BOOK</t>
        </is>
      </c>
      <c r="BB1135" t="inlineStr">
        <is>
          <t>9780306359033</t>
        </is>
      </c>
      <c r="BC1135" t="inlineStr">
        <is>
          <t>32285001620474</t>
        </is>
      </c>
      <c r="BD1135" t="inlineStr">
        <is>
          <t>893781903</t>
        </is>
      </c>
    </row>
    <row r="1136">
      <c r="A1136" t="inlineStr">
        <is>
          <t>No</t>
        </is>
      </c>
      <c r="B1136" t="inlineStr">
        <is>
          <t>BF723.P25 W5 1966</t>
        </is>
      </c>
      <c r="C1136" t="inlineStr">
        <is>
          <t>0                      BF 0723000P  25                 W  5           1966</t>
        </is>
      </c>
      <c r="D1136" t="inlineStr">
        <is>
          <t>The family and individual development [by] D. W. Winnicott.</t>
        </is>
      </c>
      <c r="F1136" t="inlineStr">
        <is>
          <t>No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K1136" t="inlineStr">
        <is>
          <t>Winnicott, D. W. (Donald Woods), 1896-1971.</t>
        </is>
      </c>
      <c r="L1136" t="inlineStr">
        <is>
          <t>[London] Tavistock Publications [1966, c1965]</t>
        </is>
      </c>
      <c r="M1136" t="inlineStr">
        <is>
          <t>1966</t>
        </is>
      </c>
      <c r="O1136" t="inlineStr">
        <is>
          <t>eng</t>
        </is>
      </c>
      <c r="P1136" t="inlineStr">
        <is>
          <t>enk</t>
        </is>
      </c>
      <c r="R1136" t="inlineStr">
        <is>
          <t xml:space="preserve">BF </t>
        </is>
      </c>
      <c r="S1136" t="n">
        <v>2</v>
      </c>
      <c r="T1136" t="n">
        <v>2</v>
      </c>
      <c r="U1136" t="inlineStr">
        <is>
          <t>2004-10-25</t>
        </is>
      </c>
      <c r="V1136" t="inlineStr">
        <is>
          <t>2004-10-25</t>
        </is>
      </c>
      <c r="W1136" t="inlineStr">
        <is>
          <t>1996-08-06</t>
        </is>
      </c>
      <c r="X1136" t="inlineStr">
        <is>
          <t>1996-08-06</t>
        </is>
      </c>
      <c r="Y1136" t="n">
        <v>105</v>
      </c>
      <c r="Z1136" t="n">
        <v>55</v>
      </c>
      <c r="AA1136" t="n">
        <v>441</v>
      </c>
      <c r="AB1136" t="n">
        <v>1</v>
      </c>
      <c r="AC1136" t="n">
        <v>2</v>
      </c>
      <c r="AD1136" t="n">
        <v>1</v>
      </c>
      <c r="AE1136" t="n">
        <v>19</v>
      </c>
      <c r="AF1136" t="n">
        <v>0</v>
      </c>
      <c r="AG1136" t="n">
        <v>7</v>
      </c>
      <c r="AH1136" t="n">
        <v>0</v>
      </c>
      <c r="AI1136" t="n">
        <v>4</v>
      </c>
      <c r="AJ1136" t="n">
        <v>1</v>
      </c>
      <c r="AK1136" t="n">
        <v>11</v>
      </c>
      <c r="AL1136" t="n">
        <v>0</v>
      </c>
      <c r="AM1136" t="n">
        <v>1</v>
      </c>
      <c r="AN1136" t="n">
        <v>0</v>
      </c>
      <c r="AO1136" t="n">
        <v>0</v>
      </c>
      <c r="AP1136" t="inlineStr">
        <is>
          <t>No</t>
        </is>
      </c>
      <c r="AQ1136" t="inlineStr">
        <is>
          <t>Yes</t>
        </is>
      </c>
      <c r="AR1136">
        <f>HYPERLINK("http://catalog.hathitrust.org/Record/007108677","HathiTrust Record")</f>
        <v/>
      </c>
      <c r="AS1136">
        <f>HYPERLINK("https://creighton-primo.hosted.exlibrisgroup.com/primo-explore/search?tab=default_tab&amp;search_scope=EVERYTHING&amp;vid=01CRU&amp;lang=en_US&amp;offset=0&amp;query=any,contains,991005439639702656","Catalog Record")</f>
        <v/>
      </c>
      <c r="AT1136">
        <f>HYPERLINK("http://www.worldcat.org/oclc/7170","WorldCat Record")</f>
        <v/>
      </c>
      <c r="AU1136" t="inlineStr">
        <is>
          <t>1130338:eng</t>
        </is>
      </c>
      <c r="AV1136" t="inlineStr">
        <is>
          <t>7170</t>
        </is>
      </c>
      <c r="AW1136" t="inlineStr">
        <is>
          <t>991005439639702656</t>
        </is>
      </c>
      <c r="AX1136" t="inlineStr">
        <is>
          <t>991005439639702656</t>
        </is>
      </c>
      <c r="AY1136" t="inlineStr">
        <is>
          <t>2267661590002656</t>
        </is>
      </c>
      <c r="AZ1136" t="inlineStr">
        <is>
          <t>BOOK</t>
        </is>
      </c>
      <c r="BC1136" t="inlineStr">
        <is>
          <t>32285002256617</t>
        </is>
      </c>
      <c r="BD1136" t="inlineStr">
        <is>
          <t>893883898</t>
        </is>
      </c>
    </row>
    <row r="1137">
      <c r="A1137" t="inlineStr">
        <is>
          <t>No</t>
        </is>
      </c>
      <c r="B1137" t="inlineStr">
        <is>
          <t>BF723.P255 R63 1989</t>
        </is>
      </c>
      <c r="C1137" t="inlineStr">
        <is>
          <t>0                      BF 0723000P  255                R  63          1989</t>
        </is>
      </c>
      <c r="D1137" t="inlineStr">
        <is>
          <t>Separation and the very young / James and Joyce Robertson.</t>
        </is>
      </c>
      <c r="F1137" t="inlineStr">
        <is>
          <t>No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K1137" t="inlineStr">
        <is>
          <t>Robertson, James, 1911-1988.</t>
        </is>
      </c>
      <c r="L1137" t="inlineStr">
        <is>
          <t>London : Free Association Books, 1989.</t>
        </is>
      </c>
      <c r="M1137" t="inlineStr">
        <is>
          <t>1989</t>
        </is>
      </c>
      <c r="O1137" t="inlineStr">
        <is>
          <t>eng</t>
        </is>
      </c>
      <c r="P1137" t="inlineStr">
        <is>
          <t>enk</t>
        </is>
      </c>
      <c r="R1137" t="inlineStr">
        <is>
          <t xml:space="preserve">BF </t>
        </is>
      </c>
      <c r="S1137" t="n">
        <v>12</v>
      </c>
      <c r="T1137" t="n">
        <v>12</v>
      </c>
      <c r="U1137" t="inlineStr">
        <is>
          <t>2001-07-05</t>
        </is>
      </c>
      <c r="V1137" t="inlineStr">
        <is>
          <t>2001-07-05</t>
        </is>
      </c>
      <c r="W1137" t="inlineStr">
        <is>
          <t>1991-04-03</t>
        </is>
      </c>
      <c r="X1137" t="inlineStr">
        <is>
          <t>1991-04-03</t>
        </is>
      </c>
      <c r="Y1137" t="n">
        <v>322</v>
      </c>
      <c r="Z1137" t="n">
        <v>215</v>
      </c>
      <c r="AA1137" t="n">
        <v>215</v>
      </c>
      <c r="AB1137" t="n">
        <v>3</v>
      </c>
      <c r="AC1137" t="n">
        <v>3</v>
      </c>
      <c r="AD1137" t="n">
        <v>10</v>
      </c>
      <c r="AE1137" t="n">
        <v>10</v>
      </c>
      <c r="AF1137" t="n">
        <v>3</v>
      </c>
      <c r="AG1137" t="n">
        <v>3</v>
      </c>
      <c r="AH1137" t="n">
        <v>1</v>
      </c>
      <c r="AI1137" t="n">
        <v>1</v>
      </c>
      <c r="AJ1137" t="n">
        <v>6</v>
      </c>
      <c r="AK1137" t="n">
        <v>6</v>
      </c>
      <c r="AL1137" t="n">
        <v>2</v>
      </c>
      <c r="AM1137" t="n">
        <v>2</v>
      </c>
      <c r="AN1137" t="n">
        <v>0</v>
      </c>
      <c r="AO1137" t="n">
        <v>0</v>
      </c>
      <c r="AP1137" t="inlineStr">
        <is>
          <t>No</t>
        </is>
      </c>
      <c r="AQ1137" t="inlineStr">
        <is>
          <t>No</t>
        </is>
      </c>
      <c r="AS1137">
        <f>HYPERLINK("https://creighton-primo.hosted.exlibrisgroup.com/primo-explore/search?tab=default_tab&amp;search_scope=EVERYTHING&amp;vid=01CRU&amp;lang=en_US&amp;offset=0&amp;query=any,contains,991001665079702656","Catalog Record")</f>
        <v/>
      </c>
      <c r="AT1137">
        <f>HYPERLINK("http://www.worldcat.org/oclc/21212582","WorldCat Record")</f>
        <v/>
      </c>
      <c r="AU1137" t="inlineStr">
        <is>
          <t>22895794:eng</t>
        </is>
      </c>
      <c r="AV1137" t="inlineStr">
        <is>
          <t>21212582</t>
        </is>
      </c>
      <c r="AW1137" t="inlineStr">
        <is>
          <t>991001665079702656</t>
        </is>
      </c>
      <c r="AX1137" t="inlineStr">
        <is>
          <t>991001665079702656</t>
        </is>
      </c>
      <c r="AY1137" t="inlineStr">
        <is>
          <t>2272119150002656</t>
        </is>
      </c>
      <c r="AZ1137" t="inlineStr">
        <is>
          <t>BOOK</t>
        </is>
      </c>
      <c r="BB1137" t="inlineStr">
        <is>
          <t>9781853430961</t>
        </is>
      </c>
      <c r="BC1137" t="inlineStr">
        <is>
          <t>32285000514223</t>
        </is>
      </c>
      <c r="BD1137" t="inlineStr">
        <is>
          <t>893328277</t>
        </is>
      </c>
    </row>
    <row r="1138">
      <c r="A1138" t="inlineStr">
        <is>
          <t>No</t>
        </is>
      </c>
      <c r="B1138" t="inlineStr">
        <is>
          <t>BF723.P36 S84 1987</t>
        </is>
      </c>
      <c r="C1138" t="inlineStr">
        <is>
          <t>0                      BF 0723000P  36                 S  84          1987</t>
        </is>
      </c>
      <c r="D1138" t="inlineStr">
        <is>
          <t>Piaget's construction of the child's reality / Susan Sugarman.</t>
        </is>
      </c>
      <c r="F1138" t="inlineStr">
        <is>
          <t>No</t>
        </is>
      </c>
      <c r="G1138" t="inlineStr">
        <is>
          <t>1</t>
        </is>
      </c>
      <c r="H1138" t="inlineStr">
        <is>
          <t>No</t>
        </is>
      </c>
      <c r="I1138" t="inlineStr">
        <is>
          <t>No</t>
        </is>
      </c>
      <c r="J1138" t="inlineStr">
        <is>
          <t>0</t>
        </is>
      </c>
      <c r="K1138" t="inlineStr">
        <is>
          <t>Sugarman, Susan.</t>
        </is>
      </c>
      <c r="L1138" t="inlineStr">
        <is>
          <t>Cambridge ; New York : Cambridge University Press, 1987.</t>
        </is>
      </c>
      <c r="M1138" t="inlineStr">
        <is>
          <t>1987</t>
        </is>
      </c>
      <c r="O1138" t="inlineStr">
        <is>
          <t>eng</t>
        </is>
      </c>
      <c r="P1138" t="inlineStr">
        <is>
          <t>enk</t>
        </is>
      </c>
      <c r="R1138" t="inlineStr">
        <is>
          <t xml:space="preserve">BF </t>
        </is>
      </c>
      <c r="S1138" t="n">
        <v>10</v>
      </c>
      <c r="T1138" t="n">
        <v>10</v>
      </c>
      <c r="U1138" t="inlineStr">
        <is>
          <t>2007-04-25</t>
        </is>
      </c>
      <c r="V1138" t="inlineStr">
        <is>
          <t>2007-04-25</t>
        </is>
      </c>
      <c r="W1138" t="inlineStr">
        <is>
          <t>1996-08-12</t>
        </is>
      </c>
      <c r="X1138" t="inlineStr">
        <is>
          <t>1996-08-12</t>
        </is>
      </c>
      <c r="Y1138" t="n">
        <v>847</v>
      </c>
      <c r="Z1138" t="n">
        <v>641</v>
      </c>
      <c r="AA1138" t="n">
        <v>653</v>
      </c>
      <c r="AB1138" t="n">
        <v>4</v>
      </c>
      <c r="AC1138" t="n">
        <v>4</v>
      </c>
      <c r="AD1138" t="n">
        <v>29</v>
      </c>
      <c r="AE1138" t="n">
        <v>30</v>
      </c>
      <c r="AF1138" t="n">
        <v>13</v>
      </c>
      <c r="AG1138" t="n">
        <v>13</v>
      </c>
      <c r="AH1138" t="n">
        <v>5</v>
      </c>
      <c r="AI1138" t="n">
        <v>6</v>
      </c>
      <c r="AJ1138" t="n">
        <v>17</v>
      </c>
      <c r="AK1138" t="n">
        <v>18</v>
      </c>
      <c r="AL1138" t="n">
        <v>3</v>
      </c>
      <c r="AM1138" t="n">
        <v>3</v>
      </c>
      <c r="AN1138" t="n">
        <v>0</v>
      </c>
      <c r="AO1138" t="n">
        <v>0</v>
      </c>
      <c r="AP1138" t="inlineStr">
        <is>
          <t>No</t>
        </is>
      </c>
      <c r="AQ1138" t="inlineStr">
        <is>
          <t>No</t>
        </is>
      </c>
      <c r="AS1138">
        <f>HYPERLINK("https://creighton-primo.hosted.exlibrisgroup.com/primo-explore/search?tab=default_tab&amp;search_scope=EVERYTHING&amp;vid=01CRU&amp;lang=en_US&amp;offset=0&amp;query=any,contains,991001057309702656","Catalog Record")</f>
        <v/>
      </c>
      <c r="AT1138">
        <f>HYPERLINK("http://www.worldcat.org/oclc/15696959","WorldCat Record")</f>
        <v/>
      </c>
      <c r="AU1138" t="inlineStr">
        <is>
          <t>10745707:eng</t>
        </is>
      </c>
      <c r="AV1138" t="inlineStr">
        <is>
          <t>15696959</t>
        </is>
      </c>
      <c r="AW1138" t="inlineStr">
        <is>
          <t>991001057309702656</t>
        </is>
      </c>
      <c r="AX1138" t="inlineStr">
        <is>
          <t>991001057309702656</t>
        </is>
      </c>
      <c r="AY1138" t="inlineStr">
        <is>
          <t>2259950160002656</t>
        </is>
      </c>
      <c r="AZ1138" t="inlineStr">
        <is>
          <t>BOOK</t>
        </is>
      </c>
      <c r="BB1138" t="inlineStr">
        <is>
          <t>9780521341646</t>
        </is>
      </c>
      <c r="BC1138" t="inlineStr">
        <is>
          <t>32285002274008</t>
        </is>
      </c>
      <c r="BD1138" t="inlineStr">
        <is>
          <t>893690291</t>
        </is>
      </c>
    </row>
    <row r="1139">
      <c r="A1139" t="inlineStr">
        <is>
          <t>No</t>
        </is>
      </c>
      <c r="B1139" t="inlineStr">
        <is>
          <t>BF723.P365 C73 1991</t>
        </is>
      </c>
      <c r="C1139" t="inlineStr">
        <is>
          <t>0                      BF 0723000P  365                C  73          1991</t>
        </is>
      </c>
      <c r="D1139" t="inlineStr">
        <is>
          <t>Criteria for competence : controversies in the conceptualization and assessment of children's abilities / edited by Michael Chandler, Michael Chapman.</t>
        </is>
      </c>
      <c r="F1139" t="inlineStr">
        <is>
          <t>No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L1139" t="inlineStr">
        <is>
          <t>Hillsdale, N.J. : L. Erlbaum Associates, 1991.</t>
        </is>
      </c>
      <c r="M1139" t="inlineStr">
        <is>
          <t>1991</t>
        </is>
      </c>
      <c r="O1139" t="inlineStr">
        <is>
          <t>eng</t>
        </is>
      </c>
      <c r="P1139" t="inlineStr">
        <is>
          <t>nju</t>
        </is>
      </c>
      <c r="R1139" t="inlineStr">
        <is>
          <t xml:space="preserve">BF </t>
        </is>
      </c>
      <c r="S1139" t="n">
        <v>2</v>
      </c>
      <c r="T1139" t="n">
        <v>2</v>
      </c>
      <c r="U1139" t="inlineStr">
        <is>
          <t>1999-04-20</t>
        </is>
      </c>
      <c r="V1139" t="inlineStr">
        <is>
          <t>1999-04-20</t>
        </is>
      </c>
      <c r="W1139" t="inlineStr">
        <is>
          <t>1996-08-05</t>
        </is>
      </c>
      <c r="X1139" t="inlineStr">
        <is>
          <t>1996-08-05</t>
        </is>
      </c>
      <c r="Y1139" t="n">
        <v>364</v>
      </c>
      <c r="Z1139" t="n">
        <v>284</v>
      </c>
      <c r="AA1139" t="n">
        <v>307</v>
      </c>
      <c r="AB1139" t="n">
        <v>3</v>
      </c>
      <c r="AC1139" t="n">
        <v>3</v>
      </c>
      <c r="AD1139" t="n">
        <v>19</v>
      </c>
      <c r="AE1139" t="n">
        <v>19</v>
      </c>
      <c r="AF1139" t="n">
        <v>6</v>
      </c>
      <c r="AG1139" t="n">
        <v>6</v>
      </c>
      <c r="AH1139" t="n">
        <v>5</v>
      </c>
      <c r="AI1139" t="n">
        <v>5</v>
      </c>
      <c r="AJ1139" t="n">
        <v>13</v>
      </c>
      <c r="AK1139" t="n">
        <v>13</v>
      </c>
      <c r="AL1139" t="n">
        <v>2</v>
      </c>
      <c r="AM1139" t="n">
        <v>2</v>
      </c>
      <c r="AN1139" t="n">
        <v>0</v>
      </c>
      <c r="AO1139" t="n">
        <v>0</v>
      </c>
      <c r="AP1139" t="inlineStr">
        <is>
          <t>No</t>
        </is>
      </c>
      <c r="AQ1139" t="inlineStr">
        <is>
          <t>Yes</t>
        </is>
      </c>
      <c r="AR1139">
        <f>HYPERLINK("http://catalog.hathitrust.org/Record/002503431","HathiTrust Record")</f>
        <v/>
      </c>
      <c r="AS1139">
        <f>HYPERLINK("https://creighton-primo.hosted.exlibrisgroup.com/primo-explore/search?tab=default_tab&amp;search_scope=EVERYTHING&amp;vid=01CRU&amp;lang=en_US&amp;offset=0&amp;query=any,contains,991001871809702656","Catalog Record")</f>
        <v/>
      </c>
      <c r="AT1139">
        <f>HYPERLINK("http://www.worldcat.org/oclc/23648743","WorldCat Record")</f>
        <v/>
      </c>
      <c r="AU1139" t="inlineStr">
        <is>
          <t>889369240:eng</t>
        </is>
      </c>
      <c r="AV1139" t="inlineStr">
        <is>
          <t>23648743</t>
        </is>
      </c>
      <c r="AW1139" t="inlineStr">
        <is>
          <t>991001871809702656</t>
        </is>
      </c>
      <c r="AX1139" t="inlineStr">
        <is>
          <t>991001871809702656</t>
        </is>
      </c>
      <c r="AY1139" t="inlineStr">
        <is>
          <t>2260353120002656</t>
        </is>
      </c>
      <c r="AZ1139" t="inlineStr">
        <is>
          <t>BOOK</t>
        </is>
      </c>
      <c r="BB1139" t="inlineStr">
        <is>
          <t>9780805806069</t>
        </is>
      </c>
      <c r="BC1139" t="inlineStr">
        <is>
          <t>32285002270568</t>
        </is>
      </c>
      <c r="BD1139" t="inlineStr">
        <is>
          <t>893609207</t>
        </is>
      </c>
    </row>
    <row r="1140">
      <c r="A1140" t="inlineStr">
        <is>
          <t>No</t>
        </is>
      </c>
      <c r="B1140" t="inlineStr">
        <is>
          <t>BF723.P4 F4</t>
        </is>
      </c>
      <c r="C1140" t="inlineStr">
        <is>
          <t>0                      BF 0723000P  4                  F  4</t>
        </is>
      </c>
      <c r="D1140" t="inlineStr">
        <is>
          <t>Personality development.</t>
        </is>
      </c>
      <c r="F1140" t="inlineStr">
        <is>
          <t>No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K1140" t="inlineStr">
        <is>
          <t>Ferguson, Lucy Rau, 1930-</t>
        </is>
      </c>
      <c r="L1140" t="inlineStr">
        <is>
          <t>Belmont, Calif. : Brooks/Cole Pub. Co., c1970.</t>
        </is>
      </c>
      <c r="M1140" t="inlineStr">
        <is>
          <t>1969</t>
        </is>
      </c>
      <c r="O1140" t="inlineStr">
        <is>
          <t>eng</t>
        </is>
      </c>
      <c r="P1140" t="inlineStr">
        <is>
          <t>cau</t>
        </is>
      </c>
      <c r="Q1140" t="inlineStr">
        <is>
          <t>Developmental processes and behavior series</t>
        </is>
      </c>
      <c r="R1140" t="inlineStr">
        <is>
          <t xml:space="preserve">BF </t>
        </is>
      </c>
      <c r="S1140" t="n">
        <v>12</v>
      </c>
      <c r="T1140" t="n">
        <v>12</v>
      </c>
      <c r="U1140" t="inlineStr">
        <is>
          <t>2009-10-08</t>
        </is>
      </c>
      <c r="V1140" t="inlineStr">
        <is>
          <t>2009-10-08</t>
        </is>
      </c>
      <c r="W1140" t="inlineStr">
        <is>
          <t>1990-03-22</t>
        </is>
      </c>
      <c r="X1140" t="inlineStr">
        <is>
          <t>1990-03-22</t>
        </is>
      </c>
      <c r="Y1140" t="n">
        <v>342</v>
      </c>
      <c r="Z1140" t="n">
        <v>315</v>
      </c>
      <c r="AA1140" t="n">
        <v>322</v>
      </c>
      <c r="AB1140" t="n">
        <v>2</v>
      </c>
      <c r="AC1140" t="n">
        <v>2</v>
      </c>
      <c r="AD1140" t="n">
        <v>11</v>
      </c>
      <c r="AE1140" t="n">
        <v>11</v>
      </c>
      <c r="AF1140" t="n">
        <v>4</v>
      </c>
      <c r="AG1140" t="n">
        <v>4</v>
      </c>
      <c r="AH1140" t="n">
        <v>3</v>
      </c>
      <c r="AI1140" t="n">
        <v>3</v>
      </c>
      <c r="AJ1140" t="n">
        <v>6</v>
      </c>
      <c r="AK1140" t="n">
        <v>6</v>
      </c>
      <c r="AL1140" t="n">
        <v>1</v>
      </c>
      <c r="AM1140" t="n">
        <v>1</v>
      </c>
      <c r="AN1140" t="n">
        <v>0</v>
      </c>
      <c r="AO1140" t="n">
        <v>0</v>
      </c>
      <c r="AP1140" t="inlineStr">
        <is>
          <t>No</t>
        </is>
      </c>
      <c r="AQ1140" t="inlineStr">
        <is>
          <t>Yes</t>
        </is>
      </c>
      <c r="AR1140">
        <f>HYPERLINK("http://catalog.hathitrust.org/Record/007412198","HathiTrust Record")</f>
        <v/>
      </c>
      <c r="AS1140">
        <f>HYPERLINK("https://creighton-primo.hosted.exlibrisgroup.com/primo-explore/search?tab=default_tab&amp;search_scope=EVERYTHING&amp;vid=01CRU&amp;lang=en_US&amp;offset=0&amp;query=any,contains,991000107649702656","Catalog Record")</f>
        <v/>
      </c>
      <c r="AT1140">
        <f>HYPERLINK("http://www.worldcat.org/oclc/47023","WorldCat Record")</f>
        <v/>
      </c>
      <c r="AU1140" t="inlineStr">
        <is>
          <t>482682:eng</t>
        </is>
      </c>
      <c r="AV1140" t="inlineStr">
        <is>
          <t>47023</t>
        </is>
      </c>
      <c r="AW1140" t="inlineStr">
        <is>
          <t>991000107649702656</t>
        </is>
      </c>
      <c r="AX1140" t="inlineStr">
        <is>
          <t>991000107649702656</t>
        </is>
      </c>
      <c r="AY1140" t="inlineStr">
        <is>
          <t>2262252510002656</t>
        </is>
      </c>
      <c r="AZ1140" t="inlineStr">
        <is>
          <t>BOOK</t>
        </is>
      </c>
      <c r="BC1140" t="inlineStr">
        <is>
          <t>32285000089820</t>
        </is>
      </c>
      <c r="BD1140" t="inlineStr">
        <is>
          <t>893802505</t>
        </is>
      </c>
    </row>
    <row r="1141">
      <c r="A1141" t="inlineStr">
        <is>
          <t>No</t>
        </is>
      </c>
      <c r="B1141" t="inlineStr">
        <is>
          <t>BF723.P4 F87 1992</t>
        </is>
      </c>
      <c r="C1141" t="inlineStr">
        <is>
          <t>0                      BF 0723000P  4                  F  87          1992</t>
        </is>
      </c>
      <c r="D1141" t="inlineStr">
        <is>
          <t>Toddlers and their mothers : a study in early personality development / Erna Furman.</t>
        </is>
      </c>
      <c r="F1141" t="inlineStr">
        <is>
          <t>No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K1141" t="inlineStr">
        <is>
          <t>Furman, Erna.</t>
        </is>
      </c>
      <c r="L1141" t="inlineStr">
        <is>
          <t>Madison, Conn. : International Universities Press, c1992</t>
        </is>
      </c>
      <c r="M1141" t="inlineStr">
        <is>
          <t>1992</t>
        </is>
      </c>
      <c r="O1141" t="inlineStr">
        <is>
          <t>eng</t>
        </is>
      </c>
      <c r="P1141" t="inlineStr">
        <is>
          <t>ctu</t>
        </is>
      </c>
      <c r="R1141" t="inlineStr">
        <is>
          <t xml:space="preserve">BF </t>
        </is>
      </c>
      <c r="S1141" t="n">
        <v>4</v>
      </c>
      <c r="T1141" t="n">
        <v>4</v>
      </c>
      <c r="U1141" t="inlineStr">
        <is>
          <t>2000-03-14</t>
        </is>
      </c>
      <c r="V1141" t="inlineStr">
        <is>
          <t>2000-03-14</t>
        </is>
      </c>
      <c r="W1141" t="inlineStr">
        <is>
          <t>1996-08-08</t>
        </is>
      </c>
      <c r="X1141" t="inlineStr">
        <is>
          <t>1996-08-08</t>
        </is>
      </c>
      <c r="Y1141" t="n">
        <v>290</v>
      </c>
      <c r="Z1141" t="n">
        <v>251</v>
      </c>
      <c r="AA1141" t="n">
        <v>262</v>
      </c>
      <c r="AB1141" t="n">
        <v>4</v>
      </c>
      <c r="AC1141" t="n">
        <v>4</v>
      </c>
      <c r="AD1141" t="n">
        <v>17</v>
      </c>
      <c r="AE1141" t="n">
        <v>17</v>
      </c>
      <c r="AF1141" t="n">
        <v>6</v>
      </c>
      <c r="AG1141" t="n">
        <v>6</v>
      </c>
      <c r="AH1141" t="n">
        <v>4</v>
      </c>
      <c r="AI1141" t="n">
        <v>4</v>
      </c>
      <c r="AJ1141" t="n">
        <v>10</v>
      </c>
      <c r="AK1141" t="n">
        <v>10</v>
      </c>
      <c r="AL1141" t="n">
        <v>3</v>
      </c>
      <c r="AM1141" t="n">
        <v>3</v>
      </c>
      <c r="AN1141" t="n">
        <v>0</v>
      </c>
      <c r="AO1141" t="n">
        <v>0</v>
      </c>
      <c r="AP1141" t="inlineStr">
        <is>
          <t>No</t>
        </is>
      </c>
      <c r="AQ1141" t="inlineStr">
        <is>
          <t>Yes</t>
        </is>
      </c>
      <c r="AR1141">
        <f>HYPERLINK("http://catalog.hathitrust.org/Record/002543728","HathiTrust Record")</f>
        <v/>
      </c>
      <c r="AS1141">
        <f>HYPERLINK("https://creighton-primo.hosted.exlibrisgroup.com/primo-explore/search?tab=default_tab&amp;search_scope=EVERYTHING&amp;vid=01CRU&amp;lang=en_US&amp;offset=0&amp;query=any,contains,991001977419702656","Catalog Record")</f>
        <v/>
      </c>
      <c r="AT1141">
        <f>HYPERLINK("http://www.worldcat.org/oclc/25091273","WorldCat Record")</f>
        <v/>
      </c>
      <c r="AU1141" t="inlineStr">
        <is>
          <t>43881041:eng</t>
        </is>
      </c>
      <c r="AV1141" t="inlineStr">
        <is>
          <t>25091273</t>
        </is>
      </c>
      <c r="AW1141" t="inlineStr">
        <is>
          <t>991001977419702656</t>
        </is>
      </c>
      <c r="AX1141" t="inlineStr">
        <is>
          <t>991001977419702656</t>
        </is>
      </c>
      <c r="AY1141" t="inlineStr">
        <is>
          <t>2263549720002656</t>
        </is>
      </c>
      <c r="AZ1141" t="inlineStr">
        <is>
          <t>BOOK</t>
        </is>
      </c>
      <c r="BB1141" t="inlineStr">
        <is>
          <t>9780823665556</t>
        </is>
      </c>
      <c r="BC1141" t="inlineStr">
        <is>
          <t>32285002272317</t>
        </is>
      </c>
      <c r="BD1141" t="inlineStr">
        <is>
          <t>893866649</t>
        </is>
      </c>
    </row>
    <row r="1142">
      <c r="A1142" t="inlineStr">
        <is>
          <t>No</t>
        </is>
      </c>
      <c r="B1142" t="inlineStr">
        <is>
          <t>BF723.P4 G3 1970</t>
        </is>
      </c>
      <c r="C1142" t="inlineStr">
        <is>
          <t>0                      BF 0723000P  4                  G  3           1970</t>
        </is>
      </c>
      <c r="D1142" t="inlineStr">
        <is>
          <t>Children growing up : the development of children's personalities.</t>
        </is>
      </c>
      <c r="F1142" t="inlineStr">
        <is>
          <t>No</t>
        </is>
      </c>
      <c r="G1142" t="inlineStr">
        <is>
          <t>1</t>
        </is>
      </c>
      <c r="H1142" t="inlineStr">
        <is>
          <t>No</t>
        </is>
      </c>
      <c r="I1142" t="inlineStr">
        <is>
          <t>No</t>
        </is>
      </c>
      <c r="J1142" t="inlineStr">
        <is>
          <t>0</t>
        </is>
      </c>
      <c r="K1142" t="inlineStr">
        <is>
          <t>Gabriel, John, 1913-</t>
        </is>
      </c>
      <c r="L1142" t="inlineStr">
        <is>
          <t>New York] : American Elsevier Pub. Co., 1970, [1969, c1968]</t>
        </is>
      </c>
      <c r="M1142" t="inlineStr">
        <is>
          <t>1969</t>
        </is>
      </c>
      <c r="N1142" t="inlineStr">
        <is>
          <t>[3d ed.</t>
        </is>
      </c>
      <c r="O1142" t="inlineStr">
        <is>
          <t>eng</t>
        </is>
      </c>
      <c r="P1142" t="inlineStr">
        <is>
          <t>nyu</t>
        </is>
      </c>
      <c r="R1142" t="inlineStr">
        <is>
          <t xml:space="preserve">BF </t>
        </is>
      </c>
      <c r="S1142" t="n">
        <v>2</v>
      </c>
      <c r="T1142" t="n">
        <v>2</v>
      </c>
      <c r="U1142" t="inlineStr">
        <is>
          <t>1997-01-21</t>
        </is>
      </c>
      <c r="V1142" t="inlineStr">
        <is>
          <t>1997-01-21</t>
        </is>
      </c>
      <c r="W1142" t="inlineStr">
        <is>
          <t>1992-03-30</t>
        </is>
      </c>
      <c r="X1142" t="inlineStr">
        <is>
          <t>1992-03-30</t>
        </is>
      </c>
      <c r="Y1142" t="n">
        <v>148</v>
      </c>
      <c r="Z1142" t="n">
        <v>137</v>
      </c>
      <c r="AA1142" t="n">
        <v>271</v>
      </c>
      <c r="AB1142" t="n">
        <v>1</v>
      </c>
      <c r="AC1142" t="n">
        <v>3</v>
      </c>
      <c r="AD1142" t="n">
        <v>3</v>
      </c>
      <c r="AE1142" t="n">
        <v>8</v>
      </c>
      <c r="AF1142" t="n">
        <v>2</v>
      </c>
      <c r="AG1142" t="n">
        <v>2</v>
      </c>
      <c r="AH1142" t="n">
        <v>0</v>
      </c>
      <c r="AI1142" t="n">
        <v>1</v>
      </c>
      <c r="AJ1142" t="n">
        <v>1</v>
      </c>
      <c r="AK1142" t="n">
        <v>4</v>
      </c>
      <c r="AL1142" t="n">
        <v>0</v>
      </c>
      <c r="AM1142" t="n">
        <v>2</v>
      </c>
      <c r="AN1142" t="n">
        <v>0</v>
      </c>
      <c r="AO1142" t="n">
        <v>0</v>
      </c>
      <c r="AP1142" t="inlineStr">
        <is>
          <t>No</t>
        </is>
      </c>
      <c r="AQ1142" t="inlineStr">
        <is>
          <t>No</t>
        </is>
      </c>
      <c r="AS1142">
        <f>HYPERLINK("https://creighton-primo.hosted.exlibrisgroup.com/primo-explore/search?tab=default_tab&amp;search_scope=EVERYTHING&amp;vid=01CRU&amp;lang=en_US&amp;offset=0&amp;query=any,contains,991000329209702656","Catalog Record")</f>
        <v/>
      </c>
      <c r="AT1142">
        <f>HYPERLINK("http://www.worldcat.org/oclc/69960","WorldCat Record")</f>
        <v/>
      </c>
      <c r="AU1142" t="inlineStr">
        <is>
          <t>1139030:eng</t>
        </is>
      </c>
      <c r="AV1142" t="inlineStr">
        <is>
          <t>69960</t>
        </is>
      </c>
      <c r="AW1142" t="inlineStr">
        <is>
          <t>991000329209702656</t>
        </is>
      </c>
      <c r="AX1142" t="inlineStr">
        <is>
          <t>991000329209702656</t>
        </is>
      </c>
      <c r="AY1142" t="inlineStr">
        <is>
          <t>2261343290002656</t>
        </is>
      </c>
      <c r="AZ1142" t="inlineStr">
        <is>
          <t>BOOK</t>
        </is>
      </c>
      <c r="BB1142" t="inlineStr">
        <is>
          <t>9780444197139</t>
        </is>
      </c>
      <c r="BC1142" t="inlineStr">
        <is>
          <t>32285001029791</t>
        </is>
      </c>
      <c r="BD1142" t="inlineStr">
        <is>
          <t>893425594</t>
        </is>
      </c>
    </row>
    <row r="1143">
      <c r="A1143" t="inlineStr">
        <is>
          <t>No</t>
        </is>
      </c>
      <c r="B1143" t="inlineStr">
        <is>
          <t>BF723.P4 G36</t>
        </is>
      </c>
      <c r="C1143" t="inlineStr">
        <is>
          <t>0                      BF 0723000P  4                  G  36</t>
        </is>
      </c>
      <c r="D1143" t="inlineStr">
        <is>
          <t>Personality development at preadolescence; explorations of structure formation, by Riley W. Gardner and Alice Moriarty.</t>
        </is>
      </c>
      <c r="F1143" t="inlineStr">
        <is>
          <t>No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K1143" t="inlineStr">
        <is>
          <t>Gardner, Riley W. (Riley Wetherell), 1921-2007.</t>
        </is>
      </c>
      <c r="L1143" t="inlineStr">
        <is>
          <t>Seattle, University of Washington Press [1968]</t>
        </is>
      </c>
      <c r="M1143" t="inlineStr">
        <is>
          <t>1968</t>
        </is>
      </c>
      <c r="O1143" t="inlineStr">
        <is>
          <t>eng</t>
        </is>
      </c>
      <c r="P1143" t="inlineStr">
        <is>
          <t>wau</t>
        </is>
      </c>
      <c r="R1143" t="inlineStr">
        <is>
          <t xml:space="preserve">BF </t>
        </is>
      </c>
      <c r="S1143" t="n">
        <v>3</v>
      </c>
      <c r="T1143" t="n">
        <v>3</v>
      </c>
      <c r="U1143" t="inlineStr">
        <is>
          <t>1997-10-29</t>
        </is>
      </c>
      <c r="V1143" t="inlineStr">
        <is>
          <t>1997-10-29</t>
        </is>
      </c>
      <c r="W1143" t="inlineStr">
        <is>
          <t>1996-08-06</t>
        </is>
      </c>
      <c r="X1143" t="inlineStr">
        <is>
          <t>1996-08-06</t>
        </is>
      </c>
      <c r="Y1143" t="n">
        <v>658</v>
      </c>
      <c r="Z1143" t="n">
        <v>581</v>
      </c>
      <c r="AA1143" t="n">
        <v>587</v>
      </c>
      <c r="AB1143" t="n">
        <v>7</v>
      </c>
      <c r="AC1143" t="n">
        <v>7</v>
      </c>
      <c r="AD1143" t="n">
        <v>26</v>
      </c>
      <c r="AE1143" t="n">
        <v>26</v>
      </c>
      <c r="AF1143" t="n">
        <v>9</v>
      </c>
      <c r="AG1143" t="n">
        <v>9</v>
      </c>
      <c r="AH1143" t="n">
        <v>4</v>
      </c>
      <c r="AI1143" t="n">
        <v>4</v>
      </c>
      <c r="AJ1143" t="n">
        <v>13</v>
      </c>
      <c r="AK1143" t="n">
        <v>13</v>
      </c>
      <c r="AL1143" t="n">
        <v>6</v>
      </c>
      <c r="AM1143" t="n">
        <v>6</v>
      </c>
      <c r="AN1143" t="n">
        <v>0</v>
      </c>
      <c r="AO1143" t="n">
        <v>0</v>
      </c>
      <c r="AP1143" t="inlineStr">
        <is>
          <t>No</t>
        </is>
      </c>
      <c r="AQ1143" t="inlineStr">
        <is>
          <t>No</t>
        </is>
      </c>
      <c r="AS1143">
        <f>HYPERLINK("https://creighton-primo.hosted.exlibrisgroup.com/primo-explore/search?tab=default_tab&amp;search_scope=EVERYTHING&amp;vid=01CRU&amp;lang=en_US&amp;offset=0&amp;query=any,contains,991005253779702656","Catalog Record")</f>
        <v/>
      </c>
      <c r="AT1143">
        <f>HYPERLINK("http://www.worldcat.org/oclc/170107","WorldCat Record")</f>
        <v/>
      </c>
      <c r="AU1143" t="inlineStr">
        <is>
          <t>422305926:eng</t>
        </is>
      </c>
      <c r="AV1143" t="inlineStr">
        <is>
          <t>170107</t>
        </is>
      </c>
      <c r="AW1143" t="inlineStr">
        <is>
          <t>991005253779702656</t>
        </is>
      </c>
      <c r="AX1143" t="inlineStr">
        <is>
          <t>991005253779702656</t>
        </is>
      </c>
      <c r="AY1143" t="inlineStr">
        <is>
          <t>2269446950002656</t>
        </is>
      </c>
      <c r="AZ1143" t="inlineStr">
        <is>
          <t>BOOK</t>
        </is>
      </c>
      <c r="BC1143" t="inlineStr">
        <is>
          <t>32285002256641</t>
        </is>
      </c>
      <c r="BD1143" t="inlineStr">
        <is>
          <t>893694997</t>
        </is>
      </c>
    </row>
    <row r="1144">
      <c r="A1144" t="inlineStr">
        <is>
          <t>No</t>
        </is>
      </c>
      <c r="B1144" t="inlineStr">
        <is>
          <t>BF723.P75 A24 1988</t>
        </is>
      </c>
      <c r="C1144" t="inlineStr">
        <is>
          <t>0                      BF 0723000P  75                 A  24          1988</t>
        </is>
      </c>
      <c r="D1144" t="inlineStr">
        <is>
          <t>Children and prejudice / Frances Aboud.</t>
        </is>
      </c>
      <c r="F1144" t="inlineStr">
        <is>
          <t>No</t>
        </is>
      </c>
      <c r="G1144" t="inlineStr">
        <is>
          <t>1</t>
        </is>
      </c>
      <c r="H1144" t="inlineStr">
        <is>
          <t>No</t>
        </is>
      </c>
      <c r="I1144" t="inlineStr">
        <is>
          <t>No</t>
        </is>
      </c>
      <c r="J1144" t="inlineStr">
        <is>
          <t>0</t>
        </is>
      </c>
      <c r="K1144" t="inlineStr">
        <is>
          <t>Aboud, Frances E.</t>
        </is>
      </c>
      <c r="L1144" t="inlineStr">
        <is>
          <t>New York, NY : B. Blackwell, 1988.</t>
        </is>
      </c>
      <c r="M1144" t="inlineStr">
        <is>
          <t>1988</t>
        </is>
      </c>
      <c r="O1144" t="inlineStr">
        <is>
          <t>eng</t>
        </is>
      </c>
      <c r="P1144" t="inlineStr">
        <is>
          <t>nyu</t>
        </is>
      </c>
      <c r="Q1144" t="inlineStr">
        <is>
          <t>Social psychology and society</t>
        </is>
      </c>
      <c r="R1144" t="inlineStr">
        <is>
          <t xml:space="preserve">BF </t>
        </is>
      </c>
      <c r="S1144" t="n">
        <v>10</v>
      </c>
      <c r="T1144" t="n">
        <v>10</v>
      </c>
      <c r="U1144" t="inlineStr">
        <is>
          <t>2007-11-12</t>
        </is>
      </c>
      <c r="V1144" t="inlineStr">
        <is>
          <t>2007-11-12</t>
        </is>
      </c>
      <c r="W1144" t="inlineStr">
        <is>
          <t>1993-03-03</t>
        </is>
      </c>
      <c r="X1144" t="inlineStr">
        <is>
          <t>1993-03-03</t>
        </is>
      </c>
      <c r="Y1144" t="n">
        <v>626</v>
      </c>
      <c r="Z1144" t="n">
        <v>562</v>
      </c>
      <c r="AA1144" t="n">
        <v>669</v>
      </c>
      <c r="AB1144" t="n">
        <v>4</v>
      </c>
      <c r="AC1144" t="n">
        <v>5</v>
      </c>
      <c r="AD1144" t="n">
        <v>27</v>
      </c>
      <c r="AE1144" t="n">
        <v>29</v>
      </c>
      <c r="AF1144" t="n">
        <v>10</v>
      </c>
      <c r="AG1144" t="n">
        <v>10</v>
      </c>
      <c r="AH1144" t="n">
        <v>6</v>
      </c>
      <c r="AI1144" t="n">
        <v>7</v>
      </c>
      <c r="AJ1144" t="n">
        <v>13</v>
      </c>
      <c r="AK1144" t="n">
        <v>14</v>
      </c>
      <c r="AL1144" t="n">
        <v>3</v>
      </c>
      <c r="AM1144" t="n">
        <v>4</v>
      </c>
      <c r="AN1144" t="n">
        <v>1</v>
      </c>
      <c r="AO1144" t="n">
        <v>1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HYPERLINK("https://creighton-primo.hosted.exlibrisgroup.com/primo-explore/search?tab=default_tab&amp;search_scope=EVERYTHING&amp;vid=01CRU&amp;lang=en_US&amp;offset=0&amp;query=any,contains,991001186879702656","Catalog Record")</f>
        <v/>
      </c>
      <c r="AT1144">
        <f>HYPERLINK("http://www.worldcat.org/oclc/17210473","WorldCat Record")</f>
        <v/>
      </c>
      <c r="AU1144" t="inlineStr">
        <is>
          <t>132595215:eng</t>
        </is>
      </c>
      <c r="AV1144" t="inlineStr">
        <is>
          <t>17210473</t>
        </is>
      </c>
      <c r="AW1144" t="inlineStr">
        <is>
          <t>991001186879702656</t>
        </is>
      </c>
      <c r="AX1144" t="inlineStr">
        <is>
          <t>991001186879702656</t>
        </is>
      </c>
      <c r="AY1144" t="inlineStr">
        <is>
          <t>2272289660002656</t>
        </is>
      </c>
      <c r="AZ1144" t="inlineStr">
        <is>
          <t>BOOK</t>
        </is>
      </c>
      <c r="BB1144" t="inlineStr">
        <is>
          <t>9780631149415</t>
        </is>
      </c>
      <c r="BC1144" t="inlineStr">
        <is>
          <t>32285001542249</t>
        </is>
      </c>
      <c r="BD1144" t="inlineStr">
        <is>
          <t>893346323</t>
        </is>
      </c>
    </row>
    <row r="1145">
      <c r="A1145" t="inlineStr">
        <is>
          <t>No</t>
        </is>
      </c>
      <c r="B1145" t="inlineStr">
        <is>
          <t>BF723.R3 C5 1963</t>
        </is>
      </c>
      <c r="C1145" t="inlineStr">
        <is>
          <t>0                      BF 0723000R  3                  C  5           1963</t>
        </is>
      </c>
      <c r="D1145" t="inlineStr">
        <is>
          <t>Prejudice and your child.</t>
        </is>
      </c>
      <c r="F1145" t="inlineStr">
        <is>
          <t>No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K1145" t="inlineStr">
        <is>
          <t>Clark, Kenneth Bancroft, 1914-2005.</t>
        </is>
      </c>
      <c r="L1145" t="inlineStr">
        <is>
          <t>Boston, Beacon Press [1963]</t>
        </is>
      </c>
      <c r="M1145" t="inlineStr">
        <is>
          <t>1963</t>
        </is>
      </c>
      <c r="N1145" t="inlineStr">
        <is>
          <t>2d ed., enl.</t>
        </is>
      </c>
      <c r="O1145" t="inlineStr">
        <is>
          <t>eng</t>
        </is>
      </c>
      <c r="P1145" t="inlineStr">
        <is>
          <t>mau</t>
        </is>
      </c>
      <c r="Q1145" t="inlineStr">
        <is>
          <t>A Beacon paperback</t>
        </is>
      </c>
      <c r="R1145" t="inlineStr">
        <is>
          <t xml:space="preserve">BF </t>
        </is>
      </c>
      <c r="S1145" t="n">
        <v>3</v>
      </c>
      <c r="T1145" t="n">
        <v>3</v>
      </c>
      <c r="U1145" t="inlineStr">
        <is>
          <t>2000-12-06</t>
        </is>
      </c>
      <c r="V1145" t="inlineStr">
        <is>
          <t>2000-12-06</t>
        </is>
      </c>
      <c r="W1145" t="inlineStr">
        <is>
          <t>1992-04-01</t>
        </is>
      </c>
      <c r="X1145" t="inlineStr">
        <is>
          <t>1992-04-01</t>
        </is>
      </c>
      <c r="Y1145" t="n">
        <v>898</v>
      </c>
      <c r="Z1145" t="n">
        <v>831</v>
      </c>
      <c r="AA1145" t="n">
        <v>1176</v>
      </c>
      <c r="AB1145" t="n">
        <v>6</v>
      </c>
      <c r="AC1145" t="n">
        <v>7</v>
      </c>
      <c r="AD1145" t="n">
        <v>31</v>
      </c>
      <c r="AE1145" t="n">
        <v>40</v>
      </c>
      <c r="AF1145" t="n">
        <v>13</v>
      </c>
      <c r="AG1145" t="n">
        <v>17</v>
      </c>
      <c r="AH1145" t="n">
        <v>6</v>
      </c>
      <c r="AI1145" t="n">
        <v>8</v>
      </c>
      <c r="AJ1145" t="n">
        <v>14</v>
      </c>
      <c r="AK1145" t="n">
        <v>18</v>
      </c>
      <c r="AL1145" t="n">
        <v>5</v>
      </c>
      <c r="AM1145" t="n">
        <v>6</v>
      </c>
      <c r="AN1145" t="n">
        <v>0</v>
      </c>
      <c r="AO1145" t="n">
        <v>0</v>
      </c>
      <c r="AP1145" t="inlineStr">
        <is>
          <t>No</t>
        </is>
      </c>
      <c r="AQ1145" t="inlineStr">
        <is>
          <t>No</t>
        </is>
      </c>
      <c r="AS1145">
        <f>HYPERLINK("https://creighton-primo.hosted.exlibrisgroup.com/primo-explore/search?tab=default_tab&amp;search_scope=EVERYTHING&amp;vid=01CRU&amp;lang=en_US&amp;offset=0&amp;query=any,contains,991001187359702656","Catalog Record")</f>
        <v/>
      </c>
      <c r="AT1145">
        <f>HYPERLINK("http://www.worldcat.org/oclc/190911","WorldCat Record")</f>
        <v/>
      </c>
      <c r="AU1145" t="inlineStr">
        <is>
          <t>373685593:eng</t>
        </is>
      </c>
      <c r="AV1145" t="inlineStr">
        <is>
          <t>190911</t>
        </is>
      </c>
      <c r="AW1145" t="inlineStr">
        <is>
          <t>991001187359702656</t>
        </is>
      </c>
      <c r="AX1145" t="inlineStr">
        <is>
          <t>991001187359702656</t>
        </is>
      </c>
      <c r="AY1145" t="inlineStr">
        <is>
          <t>2259271880002656</t>
        </is>
      </c>
      <c r="AZ1145" t="inlineStr">
        <is>
          <t>BOOK</t>
        </is>
      </c>
      <c r="BC1145" t="inlineStr">
        <is>
          <t>32285001050490</t>
        </is>
      </c>
      <c r="BD1145" t="inlineStr">
        <is>
          <t>893690420</t>
        </is>
      </c>
    </row>
    <row r="1146">
      <c r="A1146" t="inlineStr">
        <is>
          <t>No</t>
        </is>
      </c>
      <c r="B1146" t="inlineStr">
        <is>
          <t>BF723.R3 L3</t>
        </is>
      </c>
      <c r="C1146" t="inlineStr">
        <is>
          <t>0                      BF 0723000R  3                  L  3</t>
        </is>
      </c>
      <c r="D1146" t="inlineStr">
        <is>
          <t>Children's views of foreign peoples : a cross-national study / [by] Wallace E. Lambert [and] Otto Klineberg.</t>
        </is>
      </c>
      <c r="F1146" t="inlineStr">
        <is>
          <t>No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K1146" t="inlineStr">
        <is>
          <t>Lambert, Wallace E.</t>
        </is>
      </c>
      <c r="L1146" t="inlineStr">
        <is>
          <t>New York : Appleton-Century-Crofts, [1966, c1967]</t>
        </is>
      </c>
      <c r="M1146" t="inlineStr">
        <is>
          <t>1966</t>
        </is>
      </c>
      <c r="O1146" t="inlineStr">
        <is>
          <t>eng</t>
        </is>
      </c>
      <c r="P1146" t="inlineStr">
        <is>
          <t>nyu</t>
        </is>
      </c>
      <c r="Q1146" t="inlineStr">
        <is>
          <t>The Century psychology series</t>
        </is>
      </c>
      <c r="R1146" t="inlineStr">
        <is>
          <t xml:space="preserve">BF </t>
        </is>
      </c>
      <c r="S1146" t="n">
        <v>1</v>
      </c>
      <c r="T1146" t="n">
        <v>1</v>
      </c>
      <c r="U1146" t="inlineStr">
        <is>
          <t>2002-11-18</t>
        </is>
      </c>
      <c r="V1146" t="inlineStr">
        <is>
          <t>2002-11-18</t>
        </is>
      </c>
      <c r="W1146" t="inlineStr">
        <is>
          <t>1996-04-24</t>
        </is>
      </c>
      <c r="X1146" t="inlineStr">
        <is>
          <t>1996-04-24</t>
        </is>
      </c>
      <c r="Y1146" t="n">
        <v>581</v>
      </c>
      <c r="Z1146" t="n">
        <v>483</v>
      </c>
      <c r="AA1146" t="n">
        <v>491</v>
      </c>
      <c r="AB1146" t="n">
        <v>5</v>
      </c>
      <c r="AC1146" t="n">
        <v>5</v>
      </c>
      <c r="AD1146" t="n">
        <v>17</v>
      </c>
      <c r="AE1146" t="n">
        <v>17</v>
      </c>
      <c r="AF1146" t="n">
        <v>3</v>
      </c>
      <c r="AG1146" t="n">
        <v>3</v>
      </c>
      <c r="AH1146" t="n">
        <v>5</v>
      </c>
      <c r="AI1146" t="n">
        <v>5</v>
      </c>
      <c r="AJ1146" t="n">
        <v>9</v>
      </c>
      <c r="AK1146" t="n">
        <v>9</v>
      </c>
      <c r="AL1146" t="n">
        <v>4</v>
      </c>
      <c r="AM1146" t="n">
        <v>4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Yes</t>
        </is>
      </c>
      <c r="AR1146">
        <f>HYPERLINK("http://catalog.hathitrust.org/Record/000472510","HathiTrust Record")</f>
        <v/>
      </c>
      <c r="AS1146">
        <f>HYPERLINK("https://creighton-primo.hosted.exlibrisgroup.com/primo-explore/search?tab=default_tab&amp;search_scope=EVERYTHING&amp;vid=01CRU&amp;lang=en_US&amp;offset=0&amp;query=any,contains,991001369549702656","Catalog Record")</f>
        <v/>
      </c>
      <c r="AT1146">
        <f>HYPERLINK("http://www.worldcat.org/oclc/223078","WorldCat Record")</f>
        <v/>
      </c>
      <c r="AU1146" t="inlineStr">
        <is>
          <t>96257:eng</t>
        </is>
      </c>
      <c r="AV1146" t="inlineStr">
        <is>
          <t>223078</t>
        </is>
      </c>
      <c r="AW1146" t="inlineStr">
        <is>
          <t>991001369549702656</t>
        </is>
      </c>
      <c r="AX1146" t="inlineStr">
        <is>
          <t>991001369549702656</t>
        </is>
      </c>
      <c r="AY1146" t="inlineStr">
        <is>
          <t>2262264670002656</t>
        </is>
      </c>
      <c r="AZ1146" t="inlineStr">
        <is>
          <t>BOOK</t>
        </is>
      </c>
      <c r="BC1146" t="inlineStr">
        <is>
          <t>32285002160249</t>
        </is>
      </c>
      <c r="BD1146" t="inlineStr">
        <is>
          <t>893439083</t>
        </is>
      </c>
    </row>
    <row r="1147">
      <c r="A1147" t="inlineStr">
        <is>
          <t>No</t>
        </is>
      </c>
      <c r="B1147" t="inlineStr">
        <is>
          <t>BF723.R46 C48 1989</t>
        </is>
      </c>
      <c r="C1147" t="inlineStr">
        <is>
          <t>0                      BF 0723000R  46                 C  48          1989</t>
        </is>
      </c>
      <c r="D1147" t="inlineStr">
        <is>
          <t>The Child in our times : studies in the development of resiliency / edited by Timothy F. Dugan and Robert Coles.</t>
        </is>
      </c>
      <c r="F1147" t="inlineStr">
        <is>
          <t>No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L1147" t="inlineStr">
        <is>
          <t>New York : Brunner/Mazel, c1989.</t>
        </is>
      </c>
      <c r="M1147" t="inlineStr">
        <is>
          <t>1989</t>
        </is>
      </c>
      <c r="O1147" t="inlineStr">
        <is>
          <t>eng</t>
        </is>
      </c>
      <c r="P1147" t="inlineStr">
        <is>
          <t>nyu</t>
        </is>
      </c>
      <c r="R1147" t="inlineStr">
        <is>
          <t xml:space="preserve">BF </t>
        </is>
      </c>
      <c r="S1147" t="n">
        <v>6</v>
      </c>
      <c r="T1147" t="n">
        <v>6</v>
      </c>
      <c r="U1147" t="inlineStr">
        <is>
          <t>1997-04-01</t>
        </is>
      </c>
      <c r="V1147" t="inlineStr">
        <is>
          <t>1997-04-01</t>
        </is>
      </c>
      <c r="W1147" t="inlineStr">
        <is>
          <t>1992-02-21</t>
        </is>
      </c>
      <c r="X1147" t="inlineStr">
        <is>
          <t>1992-02-21</t>
        </is>
      </c>
      <c r="Y1147" t="n">
        <v>594</v>
      </c>
      <c r="Z1147" t="n">
        <v>500</v>
      </c>
      <c r="AA1147" t="n">
        <v>502</v>
      </c>
      <c r="AB1147" t="n">
        <v>6</v>
      </c>
      <c r="AC1147" t="n">
        <v>6</v>
      </c>
      <c r="AD1147" t="n">
        <v>31</v>
      </c>
      <c r="AE1147" t="n">
        <v>31</v>
      </c>
      <c r="AF1147" t="n">
        <v>11</v>
      </c>
      <c r="AG1147" t="n">
        <v>11</v>
      </c>
      <c r="AH1147" t="n">
        <v>6</v>
      </c>
      <c r="AI1147" t="n">
        <v>6</v>
      </c>
      <c r="AJ1147" t="n">
        <v>17</v>
      </c>
      <c r="AK1147" t="n">
        <v>17</v>
      </c>
      <c r="AL1147" t="n">
        <v>5</v>
      </c>
      <c r="AM1147" t="n">
        <v>5</v>
      </c>
      <c r="AN1147" t="n">
        <v>0</v>
      </c>
      <c r="AO1147" t="n">
        <v>0</v>
      </c>
      <c r="AP1147" t="inlineStr">
        <is>
          <t>No</t>
        </is>
      </c>
      <c r="AQ1147" t="inlineStr">
        <is>
          <t>Yes</t>
        </is>
      </c>
      <c r="AR1147">
        <f>HYPERLINK("http://catalog.hathitrust.org/Record/001541511","HathiTrust Record")</f>
        <v/>
      </c>
      <c r="AS1147">
        <f>HYPERLINK("https://creighton-primo.hosted.exlibrisgroup.com/primo-explore/search?tab=default_tab&amp;search_scope=EVERYTHING&amp;vid=01CRU&amp;lang=en_US&amp;offset=0&amp;query=any,contains,991001434299702656","Catalog Record")</f>
        <v/>
      </c>
      <c r="AT1147">
        <f>HYPERLINK("http://www.worldcat.org/oclc/19126160","WorldCat Record")</f>
        <v/>
      </c>
      <c r="AU1147" t="inlineStr">
        <is>
          <t>351679490:eng</t>
        </is>
      </c>
      <c r="AV1147" t="inlineStr">
        <is>
          <t>19126160</t>
        </is>
      </c>
      <c r="AW1147" t="inlineStr">
        <is>
          <t>991001434299702656</t>
        </is>
      </c>
      <c r="AX1147" t="inlineStr">
        <is>
          <t>991001434299702656</t>
        </is>
      </c>
      <c r="AY1147" t="inlineStr">
        <is>
          <t>2271054770002656</t>
        </is>
      </c>
      <c r="AZ1147" t="inlineStr">
        <is>
          <t>BOOK</t>
        </is>
      </c>
      <c r="BB1147" t="inlineStr">
        <is>
          <t>9780876305287</t>
        </is>
      </c>
      <c r="BC1147" t="inlineStr">
        <is>
          <t>32285000936194</t>
        </is>
      </c>
      <c r="BD1147" t="inlineStr">
        <is>
          <t>893340432</t>
        </is>
      </c>
    </row>
    <row r="1148">
      <c r="A1148" t="inlineStr">
        <is>
          <t>No</t>
        </is>
      </c>
      <c r="B1148" t="inlineStr">
        <is>
          <t>BF723.R53 C55 1986</t>
        </is>
      </c>
      <c r="C1148" t="inlineStr">
        <is>
          <t>0                      BF 0723000R  53                 C  55          1986</t>
        </is>
      </c>
      <c r="D1148" t="inlineStr">
        <is>
          <t>Children's intellectual rights / David Moshman, editor.</t>
        </is>
      </c>
      <c r="F1148" t="inlineStr">
        <is>
          <t>No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L1148" t="inlineStr">
        <is>
          <t>San Francisco : Jossey-Bass, c1986.</t>
        </is>
      </c>
      <c r="M1148" t="inlineStr">
        <is>
          <t>1986</t>
        </is>
      </c>
      <c r="O1148" t="inlineStr">
        <is>
          <t>eng</t>
        </is>
      </c>
      <c r="P1148" t="inlineStr">
        <is>
          <t>cau</t>
        </is>
      </c>
      <c r="Q1148" t="inlineStr">
        <is>
          <t>New directions for child development, 0195-2269 ; no. 33</t>
        </is>
      </c>
      <c r="R1148" t="inlineStr">
        <is>
          <t xml:space="preserve">BF </t>
        </is>
      </c>
      <c r="S1148" t="n">
        <v>4</v>
      </c>
      <c r="T1148" t="n">
        <v>4</v>
      </c>
      <c r="U1148" t="inlineStr">
        <is>
          <t>1999-09-22</t>
        </is>
      </c>
      <c r="V1148" t="inlineStr">
        <is>
          <t>1999-09-22</t>
        </is>
      </c>
      <c r="W1148" t="inlineStr">
        <is>
          <t>1993-04-12</t>
        </is>
      </c>
      <c r="X1148" t="inlineStr">
        <is>
          <t>1993-04-12</t>
        </is>
      </c>
      <c r="Y1148" t="n">
        <v>268</v>
      </c>
      <c r="Z1148" t="n">
        <v>226</v>
      </c>
      <c r="AA1148" t="n">
        <v>233</v>
      </c>
      <c r="AB1148" t="n">
        <v>2</v>
      </c>
      <c r="AC1148" t="n">
        <v>2</v>
      </c>
      <c r="AD1148" t="n">
        <v>15</v>
      </c>
      <c r="AE1148" t="n">
        <v>15</v>
      </c>
      <c r="AF1148" t="n">
        <v>5</v>
      </c>
      <c r="AG1148" t="n">
        <v>5</v>
      </c>
      <c r="AH1148" t="n">
        <v>3</v>
      </c>
      <c r="AI1148" t="n">
        <v>3</v>
      </c>
      <c r="AJ1148" t="n">
        <v>9</v>
      </c>
      <c r="AK1148" t="n">
        <v>9</v>
      </c>
      <c r="AL1148" t="n">
        <v>1</v>
      </c>
      <c r="AM1148" t="n">
        <v>1</v>
      </c>
      <c r="AN1148" t="n">
        <v>1</v>
      </c>
      <c r="AO1148" t="n">
        <v>1</v>
      </c>
      <c r="AP1148" t="inlineStr">
        <is>
          <t>No</t>
        </is>
      </c>
      <c r="AQ1148" t="inlineStr">
        <is>
          <t>Yes</t>
        </is>
      </c>
      <c r="AR1148">
        <f>HYPERLINK("http://catalog.hathitrust.org/Record/000633863","HathiTrust Record")</f>
        <v/>
      </c>
      <c r="AS1148">
        <f>HYPERLINK("https://creighton-primo.hosted.exlibrisgroup.com/primo-explore/search?tab=default_tab&amp;search_scope=EVERYTHING&amp;vid=01CRU&amp;lang=en_US&amp;offset=0&amp;query=any,contains,991000924109702656","Catalog Record")</f>
        <v/>
      </c>
      <c r="AT1148">
        <f>HYPERLINK("http://www.worldcat.org/oclc/14223790","WorldCat Record")</f>
        <v/>
      </c>
      <c r="AU1148" t="inlineStr">
        <is>
          <t>8512890:eng</t>
        </is>
      </c>
      <c r="AV1148" t="inlineStr">
        <is>
          <t>14223790</t>
        </is>
      </c>
      <c r="AW1148" t="inlineStr">
        <is>
          <t>991000924109702656</t>
        </is>
      </c>
      <c r="AX1148" t="inlineStr">
        <is>
          <t>991000924109702656</t>
        </is>
      </c>
      <c r="AY1148" t="inlineStr">
        <is>
          <t>2272304620002656</t>
        </is>
      </c>
      <c r="AZ1148" t="inlineStr">
        <is>
          <t>BOOK</t>
        </is>
      </c>
      <c r="BB1148" t="inlineStr">
        <is>
          <t>9781555429966</t>
        </is>
      </c>
      <c r="BC1148" t="inlineStr">
        <is>
          <t>32285001616019</t>
        </is>
      </c>
      <c r="BD1148" t="inlineStr">
        <is>
          <t>893413806</t>
        </is>
      </c>
    </row>
    <row r="1149">
      <c r="A1149" t="inlineStr">
        <is>
          <t>No</t>
        </is>
      </c>
      <c r="B1149" t="inlineStr">
        <is>
          <t>BF723.S28 K33</t>
        </is>
      </c>
      <c r="C1149" t="inlineStr">
        <is>
          <t>0                      BF 0723000S  28                 K  33</t>
        </is>
      </c>
      <c r="D1149" t="inlineStr">
        <is>
          <t>The second year : the emergence of self-awareness / Jerome Kagan, with Robin Mount ... [et al.].</t>
        </is>
      </c>
      <c r="F1149" t="inlineStr">
        <is>
          <t>No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K1149" t="inlineStr">
        <is>
          <t>Kagan, Jerome.</t>
        </is>
      </c>
      <c r="L1149" t="inlineStr">
        <is>
          <t>Cambridge, Mass. : Harvard University Press, 1981.</t>
        </is>
      </c>
      <c r="M1149" t="inlineStr">
        <is>
          <t>1981</t>
        </is>
      </c>
      <c r="O1149" t="inlineStr">
        <is>
          <t>eng</t>
        </is>
      </c>
      <c r="P1149" t="inlineStr">
        <is>
          <t>mau</t>
        </is>
      </c>
      <c r="R1149" t="inlineStr">
        <is>
          <t xml:space="preserve">BF </t>
        </is>
      </c>
      <c r="S1149" t="n">
        <v>2</v>
      </c>
      <c r="T1149" t="n">
        <v>2</v>
      </c>
      <c r="U1149" t="inlineStr">
        <is>
          <t>1995-04-01</t>
        </is>
      </c>
      <c r="V1149" t="inlineStr">
        <is>
          <t>1995-04-01</t>
        </is>
      </c>
      <c r="W1149" t="inlineStr">
        <is>
          <t>1992-04-09</t>
        </is>
      </c>
      <c r="X1149" t="inlineStr">
        <is>
          <t>1992-04-09</t>
        </is>
      </c>
      <c r="Y1149" t="n">
        <v>868</v>
      </c>
      <c r="Z1149" t="n">
        <v>706</v>
      </c>
      <c r="AA1149" t="n">
        <v>715</v>
      </c>
      <c r="AB1149" t="n">
        <v>4</v>
      </c>
      <c r="AC1149" t="n">
        <v>4</v>
      </c>
      <c r="AD1149" t="n">
        <v>20</v>
      </c>
      <c r="AE1149" t="n">
        <v>20</v>
      </c>
      <c r="AF1149" t="n">
        <v>6</v>
      </c>
      <c r="AG1149" t="n">
        <v>6</v>
      </c>
      <c r="AH1149" t="n">
        <v>4</v>
      </c>
      <c r="AI1149" t="n">
        <v>4</v>
      </c>
      <c r="AJ1149" t="n">
        <v>12</v>
      </c>
      <c r="AK1149" t="n">
        <v>12</v>
      </c>
      <c r="AL1149" t="n">
        <v>3</v>
      </c>
      <c r="AM1149" t="n">
        <v>3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Yes</t>
        </is>
      </c>
      <c r="AR1149">
        <f>HYPERLINK("http://catalog.hathitrust.org/Record/000180790","HathiTrust Record")</f>
        <v/>
      </c>
      <c r="AS1149">
        <f>HYPERLINK("https://creighton-primo.hosted.exlibrisgroup.com/primo-explore/search?tab=default_tab&amp;search_scope=EVERYTHING&amp;vid=01CRU&amp;lang=en_US&amp;offset=0&amp;query=any,contains,991005112719702656","Catalog Record")</f>
        <v/>
      </c>
      <c r="AT1149">
        <f>HYPERLINK("http://www.worldcat.org/oclc/7459614","WorldCat Record")</f>
        <v/>
      </c>
      <c r="AU1149" t="inlineStr">
        <is>
          <t>430490:eng</t>
        </is>
      </c>
      <c r="AV1149" t="inlineStr">
        <is>
          <t>7459614</t>
        </is>
      </c>
      <c r="AW1149" t="inlineStr">
        <is>
          <t>991005112719702656</t>
        </is>
      </c>
      <c r="AX1149" t="inlineStr">
        <is>
          <t>991005112719702656</t>
        </is>
      </c>
      <c r="AY1149" t="inlineStr">
        <is>
          <t>2255206410002656</t>
        </is>
      </c>
      <c r="AZ1149" t="inlineStr">
        <is>
          <t>BOOK</t>
        </is>
      </c>
      <c r="BB1149" t="inlineStr">
        <is>
          <t>9780674796621</t>
        </is>
      </c>
      <c r="BC1149" t="inlineStr">
        <is>
          <t>32285001058592</t>
        </is>
      </c>
      <c r="BD1149" t="inlineStr">
        <is>
          <t>893350731</t>
        </is>
      </c>
    </row>
    <row r="1150">
      <c r="A1150" t="inlineStr">
        <is>
          <t>No</t>
        </is>
      </c>
      <c r="B1150" t="inlineStr">
        <is>
          <t>BF723.S28 S44</t>
        </is>
      </c>
      <c r="C1150" t="inlineStr">
        <is>
          <t>0                      BF 0723000S  28                 S  44</t>
        </is>
      </c>
      <c r="D1150" t="inlineStr">
        <is>
          <t>The Self-concept of the young child / edited by Thomas D. Yawkey.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L1150" t="inlineStr">
        <is>
          <t>Provo, Utah : Brigham Young University Press, c1980.</t>
        </is>
      </c>
      <c r="M1150" t="inlineStr">
        <is>
          <t>1980</t>
        </is>
      </c>
      <c r="O1150" t="inlineStr">
        <is>
          <t>eng</t>
        </is>
      </c>
      <c r="P1150" t="inlineStr">
        <is>
          <t>utu</t>
        </is>
      </c>
      <c r="R1150" t="inlineStr">
        <is>
          <t xml:space="preserve">BF </t>
        </is>
      </c>
      <c r="S1150" t="n">
        <v>8</v>
      </c>
      <c r="T1150" t="n">
        <v>8</v>
      </c>
      <c r="U1150" t="inlineStr">
        <is>
          <t>1997-11-05</t>
        </is>
      </c>
      <c r="V1150" t="inlineStr">
        <is>
          <t>1997-11-05</t>
        </is>
      </c>
      <c r="W1150" t="inlineStr">
        <is>
          <t>1992-03-26</t>
        </is>
      </c>
      <c r="X1150" t="inlineStr">
        <is>
          <t>1992-03-26</t>
        </is>
      </c>
      <c r="Y1150" t="n">
        <v>287</v>
      </c>
      <c r="Z1150" t="n">
        <v>239</v>
      </c>
      <c r="AA1150" t="n">
        <v>239</v>
      </c>
      <c r="AB1150" t="n">
        <v>3</v>
      </c>
      <c r="AC1150" t="n">
        <v>3</v>
      </c>
      <c r="AD1150" t="n">
        <v>5</v>
      </c>
      <c r="AE1150" t="n">
        <v>5</v>
      </c>
      <c r="AF1150" t="n">
        <v>1</v>
      </c>
      <c r="AG1150" t="n">
        <v>1</v>
      </c>
      <c r="AH1150" t="n">
        <v>2</v>
      </c>
      <c r="AI1150" t="n">
        <v>2</v>
      </c>
      <c r="AJ1150" t="n">
        <v>1</v>
      </c>
      <c r="AK1150" t="n">
        <v>1</v>
      </c>
      <c r="AL1150" t="n">
        <v>2</v>
      </c>
      <c r="AM1150" t="n">
        <v>2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No</t>
        </is>
      </c>
      <c r="AS1150">
        <f>HYPERLINK("https://creighton-primo.hosted.exlibrisgroup.com/primo-explore/search?tab=default_tab&amp;search_scope=EVERYTHING&amp;vid=01CRU&amp;lang=en_US&amp;offset=0&amp;query=any,contains,991004943869702656","Catalog Record")</f>
        <v/>
      </c>
      <c r="AT1150">
        <f>HYPERLINK("http://www.worldcat.org/oclc/6196712","WorldCat Record")</f>
        <v/>
      </c>
      <c r="AU1150" t="inlineStr">
        <is>
          <t>506328:eng</t>
        </is>
      </c>
      <c r="AV1150" t="inlineStr">
        <is>
          <t>6196712</t>
        </is>
      </c>
      <c r="AW1150" t="inlineStr">
        <is>
          <t>991004943869702656</t>
        </is>
      </c>
      <c r="AX1150" t="inlineStr">
        <is>
          <t>991004943869702656</t>
        </is>
      </c>
      <c r="AY1150" t="inlineStr">
        <is>
          <t>2266240230002656</t>
        </is>
      </c>
      <c r="AZ1150" t="inlineStr">
        <is>
          <t>BOOK</t>
        </is>
      </c>
      <c r="BB1150" t="inlineStr">
        <is>
          <t>9780842518154</t>
        </is>
      </c>
      <c r="BC1150" t="inlineStr">
        <is>
          <t>32285001040699</t>
        </is>
      </c>
      <c r="BD1150" t="inlineStr">
        <is>
          <t>893901920</t>
        </is>
      </c>
    </row>
    <row r="1151">
      <c r="A1151" t="inlineStr">
        <is>
          <t>No</t>
        </is>
      </c>
      <c r="B1151" t="inlineStr">
        <is>
          <t>BF723.S3 C6</t>
        </is>
      </c>
      <c r="C1151" t="inlineStr">
        <is>
          <t>0                      BF 0723000S  3                  C  6</t>
        </is>
      </c>
      <c r="D1151" t="inlineStr">
        <is>
          <t>The antecedents of self-esteem.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Yes</t>
        </is>
      </c>
      <c r="J1151" t="inlineStr">
        <is>
          <t>0</t>
        </is>
      </c>
      <c r="K1151" t="inlineStr">
        <is>
          <t>Coopersmith, Stanley, 1926-</t>
        </is>
      </c>
      <c r="L1151" t="inlineStr">
        <is>
          <t>San Francisco : W. H. Freeman, [1967]</t>
        </is>
      </c>
      <c r="M1151" t="inlineStr">
        <is>
          <t>1967</t>
        </is>
      </c>
      <c r="O1151" t="inlineStr">
        <is>
          <t>eng</t>
        </is>
      </c>
      <c r="P1151" t="inlineStr">
        <is>
          <t>cau</t>
        </is>
      </c>
      <c r="Q1151" t="inlineStr">
        <is>
          <t>A Series of books in behavioral science</t>
        </is>
      </c>
      <c r="R1151" t="inlineStr">
        <is>
          <t xml:space="preserve">BF </t>
        </is>
      </c>
      <c r="S1151" t="n">
        <v>12</v>
      </c>
      <c r="T1151" t="n">
        <v>12</v>
      </c>
      <c r="U1151" t="inlineStr">
        <is>
          <t>1998-03-23</t>
        </is>
      </c>
      <c r="V1151" t="inlineStr">
        <is>
          <t>1998-03-23</t>
        </is>
      </c>
      <c r="W1151" t="inlineStr">
        <is>
          <t>1992-12-18</t>
        </is>
      </c>
      <c r="X1151" t="inlineStr">
        <is>
          <t>1992-12-18</t>
        </is>
      </c>
      <c r="Y1151" t="n">
        <v>1252</v>
      </c>
      <c r="Z1151" t="n">
        <v>1042</v>
      </c>
      <c r="AA1151" t="n">
        <v>1117</v>
      </c>
      <c r="AB1151" t="n">
        <v>9</v>
      </c>
      <c r="AC1151" t="n">
        <v>11</v>
      </c>
      <c r="AD1151" t="n">
        <v>45</v>
      </c>
      <c r="AE1151" t="n">
        <v>50</v>
      </c>
      <c r="AF1151" t="n">
        <v>18</v>
      </c>
      <c r="AG1151" t="n">
        <v>22</v>
      </c>
      <c r="AH1151" t="n">
        <v>8</v>
      </c>
      <c r="AI1151" t="n">
        <v>8</v>
      </c>
      <c r="AJ1151" t="n">
        <v>22</v>
      </c>
      <c r="AK1151" t="n">
        <v>23</v>
      </c>
      <c r="AL1151" t="n">
        <v>7</v>
      </c>
      <c r="AM1151" t="n">
        <v>8</v>
      </c>
      <c r="AN1151" t="n">
        <v>1</v>
      </c>
      <c r="AO1151" t="n">
        <v>1</v>
      </c>
      <c r="AP1151" t="inlineStr">
        <is>
          <t>No</t>
        </is>
      </c>
      <c r="AQ1151" t="inlineStr">
        <is>
          <t>No</t>
        </is>
      </c>
      <c r="AS1151">
        <f>HYPERLINK("https://creighton-primo.hosted.exlibrisgroup.com/primo-explore/search?tab=default_tab&amp;search_scope=EVERYTHING&amp;vid=01CRU&amp;lang=en_US&amp;offset=0&amp;query=any,contains,991001369579702656","Catalog Record")</f>
        <v/>
      </c>
      <c r="AT1151">
        <f>HYPERLINK("http://www.worldcat.org/oclc/223092","WorldCat Record")</f>
        <v/>
      </c>
      <c r="AU1151" t="inlineStr">
        <is>
          <t>1330434:eng</t>
        </is>
      </c>
      <c r="AV1151" t="inlineStr">
        <is>
          <t>223092</t>
        </is>
      </c>
      <c r="AW1151" t="inlineStr">
        <is>
          <t>991001369579702656</t>
        </is>
      </c>
      <c r="AX1151" t="inlineStr">
        <is>
          <t>991001369579702656</t>
        </is>
      </c>
      <c r="AY1151" t="inlineStr">
        <is>
          <t>2262262040002656</t>
        </is>
      </c>
      <c r="AZ1151" t="inlineStr">
        <is>
          <t>BOOK</t>
        </is>
      </c>
      <c r="BB1151" t="inlineStr">
        <is>
          <t>9780716709121</t>
        </is>
      </c>
      <c r="BC1151" t="inlineStr">
        <is>
          <t>32285001444438</t>
        </is>
      </c>
      <c r="BD1151" t="inlineStr">
        <is>
          <t>893615015</t>
        </is>
      </c>
    </row>
    <row r="1152">
      <c r="A1152" t="inlineStr">
        <is>
          <t>No</t>
        </is>
      </c>
      <c r="B1152" t="inlineStr">
        <is>
          <t>BF723.S3 F44</t>
        </is>
      </c>
      <c r="C1152" t="inlineStr">
        <is>
          <t>0                      BF 0723000S  3                  F  44</t>
        </is>
      </c>
      <c r="D1152" t="inlineStr">
        <is>
          <t>Building positive self-concepts / [by] Donald W. Felker.</t>
        </is>
      </c>
      <c r="F1152" t="inlineStr">
        <is>
          <t>No</t>
        </is>
      </c>
      <c r="G1152" t="inlineStr">
        <is>
          <t>1</t>
        </is>
      </c>
      <c r="H1152" t="inlineStr">
        <is>
          <t>No</t>
        </is>
      </c>
      <c r="I1152" t="inlineStr">
        <is>
          <t>No</t>
        </is>
      </c>
      <c r="J1152" t="inlineStr">
        <is>
          <t>0</t>
        </is>
      </c>
      <c r="K1152" t="inlineStr">
        <is>
          <t>Felker, Donald W.</t>
        </is>
      </c>
      <c r="L1152" t="inlineStr">
        <is>
          <t>Minneapolis : Burgess Publishing Co., [1974]</t>
        </is>
      </c>
      <c r="M1152" t="inlineStr">
        <is>
          <t>1974</t>
        </is>
      </c>
      <c r="O1152" t="inlineStr">
        <is>
          <t>eng</t>
        </is>
      </c>
      <c r="P1152" t="inlineStr">
        <is>
          <t>mnu</t>
        </is>
      </c>
      <c r="Q1152" t="inlineStr">
        <is>
          <t>The Burgess educational psychology series for the teacher</t>
        </is>
      </c>
      <c r="R1152" t="inlineStr">
        <is>
          <t xml:space="preserve">BF </t>
        </is>
      </c>
      <c r="S1152" t="n">
        <v>8</v>
      </c>
      <c r="T1152" t="n">
        <v>8</v>
      </c>
      <c r="U1152" t="inlineStr">
        <is>
          <t>1995-10-02</t>
        </is>
      </c>
      <c r="V1152" t="inlineStr">
        <is>
          <t>1995-10-02</t>
        </is>
      </c>
      <c r="W1152" t="inlineStr">
        <is>
          <t>1992-04-11</t>
        </is>
      </c>
      <c r="X1152" t="inlineStr">
        <is>
          <t>1992-04-11</t>
        </is>
      </c>
      <c r="Y1152" t="n">
        <v>322</v>
      </c>
      <c r="Z1152" t="n">
        <v>264</v>
      </c>
      <c r="AA1152" t="n">
        <v>273</v>
      </c>
      <c r="AB1152" t="n">
        <v>2</v>
      </c>
      <c r="AC1152" t="n">
        <v>2</v>
      </c>
      <c r="AD1152" t="n">
        <v>10</v>
      </c>
      <c r="AE1152" t="n">
        <v>10</v>
      </c>
      <c r="AF1152" t="n">
        <v>5</v>
      </c>
      <c r="AG1152" t="n">
        <v>5</v>
      </c>
      <c r="AH1152" t="n">
        <v>3</v>
      </c>
      <c r="AI1152" t="n">
        <v>3</v>
      </c>
      <c r="AJ1152" t="n">
        <v>4</v>
      </c>
      <c r="AK1152" t="n">
        <v>4</v>
      </c>
      <c r="AL1152" t="n">
        <v>1</v>
      </c>
      <c r="AM1152" t="n">
        <v>1</v>
      </c>
      <c r="AN1152" t="n">
        <v>0</v>
      </c>
      <c r="AO1152" t="n">
        <v>0</v>
      </c>
      <c r="AP1152" t="inlineStr">
        <is>
          <t>No</t>
        </is>
      </c>
      <c r="AQ1152" t="inlineStr">
        <is>
          <t>Yes</t>
        </is>
      </c>
      <c r="AR1152">
        <f>HYPERLINK("http://catalog.hathitrust.org/Record/000014990","HathiTrust Record")</f>
        <v/>
      </c>
      <c r="AS1152">
        <f>HYPERLINK("https://creighton-primo.hosted.exlibrisgroup.com/primo-explore/search?tab=default_tab&amp;search_scope=EVERYTHING&amp;vid=01CRU&amp;lang=en_US&amp;offset=0&amp;query=any,contains,991003396889702656","Catalog Record")</f>
        <v/>
      </c>
      <c r="AT1152">
        <f>HYPERLINK("http://www.worldcat.org/oclc/934828","WorldCat Record")</f>
        <v/>
      </c>
      <c r="AU1152" t="inlineStr">
        <is>
          <t>465598:eng</t>
        </is>
      </c>
      <c r="AV1152" t="inlineStr">
        <is>
          <t>934828</t>
        </is>
      </c>
      <c r="AW1152" t="inlineStr">
        <is>
          <t>991003396889702656</t>
        </is>
      </c>
      <c r="AX1152" t="inlineStr">
        <is>
          <t>991003396889702656</t>
        </is>
      </c>
      <c r="AY1152" t="inlineStr">
        <is>
          <t>2271657300002656</t>
        </is>
      </c>
      <c r="AZ1152" t="inlineStr">
        <is>
          <t>BOOK</t>
        </is>
      </c>
      <c r="BB1152" t="inlineStr">
        <is>
          <t>9780808706205</t>
        </is>
      </c>
      <c r="BC1152" t="inlineStr">
        <is>
          <t>32285001058584</t>
        </is>
      </c>
      <c r="BD1152" t="inlineStr">
        <is>
          <t>893499255</t>
        </is>
      </c>
    </row>
    <row r="1153">
      <c r="A1153" t="inlineStr">
        <is>
          <t>No</t>
        </is>
      </c>
      <c r="B1153" t="inlineStr">
        <is>
          <t>BF723.S6 F56</t>
        </is>
      </c>
      <c r="C1153" t="inlineStr">
        <is>
          <t>0                      BF 0723000S  6                  F  56</t>
        </is>
      </c>
      <c r="D1153" t="inlineStr">
        <is>
          <t>Children's understanding of social interaction.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K1153" t="inlineStr">
        <is>
          <t>Flapan, Dorothy.</t>
        </is>
      </c>
      <c r="L1153" t="inlineStr">
        <is>
          <t>New York, Teachers College Press [1968]</t>
        </is>
      </c>
      <c r="M1153" t="inlineStr">
        <is>
          <t>1968</t>
        </is>
      </c>
      <c r="O1153" t="inlineStr">
        <is>
          <t>eng</t>
        </is>
      </c>
      <c r="P1153" t="inlineStr">
        <is>
          <t>nyu</t>
        </is>
      </c>
      <c r="R1153" t="inlineStr">
        <is>
          <t xml:space="preserve">BF </t>
        </is>
      </c>
      <c r="S1153" t="n">
        <v>7</v>
      </c>
      <c r="T1153" t="n">
        <v>7</v>
      </c>
      <c r="U1153" t="inlineStr">
        <is>
          <t>1999-11-09</t>
        </is>
      </c>
      <c r="V1153" t="inlineStr">
        <is>
          <t>1999-11-09</t>
        </is>
      </c>
      <c r="W1153" t="inlineStr">
        <is>
          <t>1993-01-06</t>
        </is>
      </c>
      <c r="X1153" t="inlineStr">
        <is>
          <t>1993-01-06</t>
        </is>
      </c>
      <c r="Y1153" t="n">
        <v>520</v>
      </c>
      <c r="Z1153" t="n">
        <v>425</v>
      </c>
      <c r="AA1153" t="n">
        <v>434</v>
      </c>
      <c r="AB1153" t="n">
        <v>5</v>
      </c>
      <c r="AC1153" t="n">
        <v>5</v>
      </c>
      <c r="AD1153" t="n">
        <v>19</v>
      </c>
      <c r="AE1153" t="n">
        <v>19</v>
      </c>
      <c r="AF1153" t="n">
        <v>6</v>
      </c>
      <c r="AG1153" t="n">
        <v>6</v>
      </c>
      <c r="AH1153" t="n">
        <v>3</v>
      </c>
      <c r="AI1153" t="n">
        <v>3</v>
      </c>
      <c r="AJ1153" t="n">
        <v>9</v>
      </c>
      <c r="AK1153" t="n">
        <v>9</v>
      </c>
      <c r="AL1153" t="n">
        <v>4</v>
      </c>
      <c r="AM1153" t="n">
        <v>4</v>
      </c>
      <c r="AN1153" t="n">
        <v>0</v>
      </c>
      <c r="AO1153" t="n">
        <v>0</v>
      </c>
      <c r="AP1153" t="inlineStr">
        <is>
          <t>No</t>
        </is>
      </c>
      <c r="AQ1153" t="inlineStr">
        <is>
          <t>No</t>
        </is>
      </c>
      <c r="AS1153">
        <f>HYPERLINK("https://creighton-primo.hosted.exlibrisgroup.com/primo-explore/search?tab=default_tab&amp;search_scope=EVERYTHING&amp;vid=01CRU&amp;lang=en_US&amp;offset=0&amp;query=any,contains,991001370119702656","Catalog Record")</f>
        <v/>
      </c>
      <c r="AT1153">
        <f>HYPERLINK("http://www.worldcat.org/oclc/223325","WorldCat Record")</f>
        <v/>
      </c>
      <c r="AU1153" t="inlineStr">
        <is>
          <t>464872:eng</t>
        </is>
      </c>
      <c r="AV1153" t="inlineStr">
        <is>
          <t>223325</t>
        </is>
      </c>
      <c r="AW1153" t="inlineStr">
        <is>
          <t>991001370119702656</t>
        </is>
      </c>
      <c r="AX1153" t="inlineStr">
        <is>
          <t>991001370119702656</t>
        </is>
      </c>
      <c r="AY1153" t="inlineStr">
        <is>
          <t>2264128130002656</t>
        </is>
      </c>
      <c r="AZ1153" t="inlineStr">
        <is>
          <t>BOOK</t>
        </is>
      </c>
      <c r="BC1153" t="inlineStr">
        <is>
          <t>32285001485381</t>
        </is>
      </c>
      <c r="BD1153" t="inlineStr">
        <is>
          <t>893444668</t>
        </is>
      </c>
    </row>
    <row r="1154">
      <c r="A1154" t="inlineStr">
        <is>
          <t>No</t>
        </is>
      </c>
      <c r="B1154" t="inlineStr">
        <is>
          <t>BF723.S6 P44 1985</t>
        </is>
      </c>
      <c r="C1154" t="inlineStr">
        <is>
          <t>0                      BF 0723000S  6                  P  44          1985</t>
        </is>
      </c>
      <c r="D1154" t="inlineStr">
        <is>
          <t>Peer conflict and psychological growth / Marvin W. Berkowitz, editor.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L1154" t="inlineStr">
        <is>
          <t>San Francisco : Jossey-Bass, 1985.</t>
        </is>
      </c>
      <c r="M1154" t="inlineStr">
        <is>
          <t>1985</t>
        </is>
      </c>
      <c r="O1154" t="inlineStr">
        <is>
          <t>eng</t>
        </is>
      </c>
      <c r="P1154" t="inlineStr">
        <is>
          <t>cau</t>
        </is>
      </c>
      <c r="Q1154" t="inlineStr">
        <is>
          <t>New directions for child development ; no. 29</t>
        </is>
      </c>
      <c r="R1154" t="inlineStr">
        <is>
          <t xml:space="preserve">BF </t>
        </is>
      </c>
      <c r="S1154" t="n">
        <v>4</v>
      </c>
      <c r="T1154" t="n">
        <v>4</v>
      </c>
      <c r="U1154" t="inlineStr">
        <is>
          <t>2002-04-02</t>
        </is>
      </c>
      <c r="V1154" t="inlineStr">
        <is>
          <t>2002-04-02</t>
        </is>
      </c>
      <c r="W1154" t="inlineStr">
        <is>
          <t>1993-01-05</t>
        </is>
      </c>
      <c r="X1154" t="inlineStr">
        <is>
          <t>1993-01-05</t>
        </is>
      </c>
      <c r="Y1154" t="n">
        <v>305</v>
      </c>
      <c r="Z1154" t="n">
        <v>239</v>
      </c>
      <c r="AA1154" t="n">
        <v>251</v>
      </c>
      <c r="AB1154" t="n">
        <v>2</v>
      </c>
      <c r="AC1154" t="n">
        <v>2</v>
      </c>
      <c r="AD1154" t="n">
        <v>14</v>
      </c>
      <c r="AE1154" t="n">
        <v>14</v>
      </c>
      <c r="AF1154" t="n">
        <v>4</v>
      </c>
      <c r="AG1154" t="n">
        <v>4</v>
      </c>
      <c r="AH1154" t="n">
        <v>4</v>
      </c>
      <c r="AI1154" t="n">
        <v>4</v>
      </c>
      <c r="AJ1154" t="n">
        <v>8</v>
      </c>
      <c r="AK1154" t="n">
        <v>8</v>
      </c>
      <c r="AL1154" t="n">
        <v>1</v>
      </c>
      <c r="AM1154" t="n">
        <v>1</v>
      </c>
      <c r="AN1154" t="n">
        <v>0</v>
      </c>
      <c r="AO1154" t="n">
        <v>0</v>
      </c>
      <c r="AP1154" t="inlineStr">
        <is>
          <t>No</t>
        </is>
      </c>
      <c r="AQ1154" t="inlineStr">
        <is>
          <t>Yes</t>
        </is>
      </c>
      <c r="AR1154">
        <f>HYPERLINK("http://catalog.hathitrust.org/Record/000384276","HathiTrust Record")</f>
        <v/>
      </c>
      <c r="AS1154">
        <f>HYPERLINK("https://creighton-primo.hosted.exlibrisgroup.com/primo-explore/search?tab=default_tab&amp;search_scope=EVERYTHING&amp;vid=01CRU&amp;lang=en_US&amp;offset=0&amp;query=any,contains,991000744449702656","Catalog Record")</f>
        <v/>
      </c>
      <c r="AT1154">
        <f>HYPERLINK("http://www.worldcat.org/oclc/15282704","WorldCat Record")</f>
        <v/>
      </c>
      <c r="AU1154" t="inlineStr">
        <is>
          <t>10448587:eng</t>
        </is>
      </c>
      <c r="AV1154" t="inlineStr">
        <is>
          <t>15282704</t>
        </is>
      </c>
      <c r="AW1154" t="inlineStr">
        <is>
          <t>991000744449702656</t>
        </is>
      </c>
      <c r="AX1154" t="inlineStr">
        <is>
          <t>991000744449702656</t>
        </is>
      </c>
      <c r="AY1154" t="inlineStr">
        <is>
          <t>2262908290002656</t>
        </is>
      </c>
      <c r="AZ1154" t="inlineStr">
        <is>
          <t>BOOK</t>
        </is>
      </c>
      <c r="BB1154" t="inlineStr">
        <is>
          <t>9780875897967</t>
        </is>
      </c>
      <c r="BC1154" t="inlineStr">
        <is>
          <t>32285001485282</t>
        </is>
      </c>
      <c r="BD1154" t="inlineStr">
        <is>
          <t>893333734</t>
        </is>
      </c>
    </row>
    <row r="1155">
      <c r="A1155" t="inlineStr">
        <is>
          <t>No</t>
        </is>
      </c>
      <c r="B1155" t="inlineStr">
        <is>
          <t>BF723.S62 I57 1988</t>
        </is>
      </c>
      <c r="C1155" t="inlineStr">
        <is>
          <t>0                      BF 0723000S  62                 I  57          1988</t>
        </is>
      </c>
      <c r="D1155" t="inlineStr">
        <is>
          <t>Integrative processes and socialization : early to middle childhood / edited by Thomas D. Yawkey, James E. Johnson.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L1155" t="inlineStr">
        <is>
          <t>Hillsdale, N.J. : L. Erlbaum Associates, 1988.</t>
        </is>
      </c>
      <c r="M1155" t="inlineStr">
        <is>
          <t>1988</t>
        </is>
      </c>
      <c r="O1155" t="inlineStr">
        <is>
          <t>eng</t>
        </is>
      </c>
      <c r="P1155" t="inlineStr">
        <is>
          <t>nju</t>
        </is>
      </c>
      <c r="R1155" t="inlineStr">
        <is>
          <t xml:space="preserve">BF </t>
        </is>
      </c>
      <c r="S1155" t="n">
        <v>10</v>
      </c>
      <c r="T1155" t="n">
        <v>10</v>
      </c>
      <c r="U1155" t="inlineStr">
        <is>
          <t>1996-03-06</t>
        </is>
      </c>
      <c r="V1155" t="inlineStr">
        <is>
          <t>1996-03-06</t>
        </is>
      </c>
      <c r="W1155" t="inlineStr">
        <is>
          <t>1992-03-10</t>
        </is>
      </c>
      <c r="X1155" t="inlineStr">
        <is>
          <t>1992-03-10</t>
        </is>
      </c>
      <c r="Y1155" t="n">
        <v>401</v>
      </c>
      <c r="Z1155" t="n">
        <v>334</v>
      </c>
      <c r="AA1155" t="n">
        <v>359</v>
      </c>
      <c r="AB1155" t="n">
        <v>3</v>
      </c>
      <c r="AC1155" t="n">
        <v>3</v>
      </c>
      <c r="AD1155" t="n">
        <v>16</v>
      </c>
      <c r="AE1155" t="n">
        <v>16</v>
      </c>
      <c r="AF1155" t="n">
        <v>4</v>
      </c>
      <c r="AG1155" t="n">
        <v>4</v>
      </c>
      <c r="AH1155" t="n">
        <v>4</v>
      </c>
      <c r="AI1155" t="n">
        <v>4</v>
      </c>
      <c r="AJ1155" t="n">
        <v>10</v>
      </c>
      <c r="AK1155" t="n">
        <v>10</v>
      </c>
      <c r="AL1155" t="n">
        <v>2</v>
      </c>
      <c r="AM1155" t="n">
        <v>2</v>
      </c>
      <c r="AN1155" t="n">
        <v>0</v>
      </c>
      <c r="AO1155" t="n">
        <v>0</v>
      </c>
      <c r="AP1155" t="inlineStr">
        <is>
          <t>No</t>
        </is>
      </c>
      <c r="AQ1155" t="inlineStr">
        <is>
          <t>No</t>
        </is>
      </c>
      <c r="AS1155">
        <f>HYPERLINK("https://creighton-primo.hosted.exlibrisgroup.com/primo-explore/search?tab=default_tab&amp;search_scope=EVERYTHING&amp;vid=01CRU&amp;lang=en_US&amp;offset=0&amp;query=any,contains,991001070609702656","Catalog Record")</f>
        <v/>
      </c>
      <c r="AT1155">
        <f>HYPERLINK("http://www.worldcat.org/oclc/15860634","WorldCat Record")</f>
        <v/>
      </c>
      <c r="AU1155" t="inlineStr">
        <is>
          <t>349912320:eng</t>
        </is>
      </c>
      <c r="AV1155" t="inlineStr">
        <is>
          <t>15860634</t>
        </is>
      </c>
      <c r="AW1155" t="inlineStr">
        <is>
          <t>991001070609702656</t>
        </is>
      </c>
      <c r="AX1155" t="inlineStr">
        <is>
          <t>991001070609702656</t>
        </is>
      </c>
      <c r="AY1155" t="inlineStr">
        <is>
          <t>2259102110002656</t>
        </is>
      </c>
      <c r="AZ1155" t="inlineStr">
        <is>
          <t>BOOK</t>
        </is>
      </c>
      <c r="BB1155" t="inlineStr">
        <is>
          <t>9780898596045</t>
        </is>
      </c>
      <c r="BC1155" t="inlineStr">
        <is>
          <t>32285000996149</t>
        </is>
      </c>
      <c r="BD1155" t="inlineStr">
        <is>
          <t>893438841</t>
        </is>
      </c>
    </row>
    <row r="1156">
      <c r="A1156" t="inlineStr">
        <is>
          <t>No</t>
        </is>
      </c>
      <c r="B1156" t="inlineStr">
        <is>
          <t>BF723.S62 M33 1988</t>
        </is>
      </c>
      <c r="C1156" t="inlineStr">
        <is>
          <t>0                      BF 0723000S  62                 M  33          1988</t>
        </is>
      </c>
      <c r="D1156" t="inlineStr">
        <is>
          <t>Social and personality development : an evolutionary synthesis / Kevin B. MacDonald.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K1156" t="inlineStr">
        <is>
          <t>MacDonald, Kevin B.</t>
        </is>
      </c>
      <c r="L1156" t="inlineStr">
        <is>
          <t>New York : Plenum Press, c1988.</t>
        </is>
      </c>
      <c r="M1156" t="inlineStr">
        <is>
          <t>1988</t>
        </is>
      </c>
      <c r="O1156" t="inlineStr">
        <is>
          <t>eng</t>
        </is>
      </c>
      <c r="P1156" t="inlineStr">
        <is>
          <t>nyu</t>
        </is>
      </c>
      <c r="Q1156" t="inlineStr">
        <is>
          <t>Perspectives in developmental psychology</t>
        </is>
      </c>
      <c r="R1156" t="inlineStr">
        <is>
          <t xml:space="preserve">BF </t>
        </is>
      </c>
      <c r="S1156" t="n">
        <v>11</v>
      </c>
      <c r="T1156" t="n">
        <v>11</v>
      </c>
      <c r="U1156" t="inlineStr">
        <is>
          <t>1998-06-03</t>
        </is>
      </c>
      <c r="V1156" t="inlineStr">
        <is>
          <t>1998-06-03</t>
        </is>
      </c>
      <c r="W1156" t="inlineStr">
        <is>
          <t>1990-12-04</t>
        </is>
      </c>
      <c r="X1156" t="inlineStr">
        <is>
          <t>1990-12-04</t>
        </is>
      </c>
      <c r="Y1156" t="n">
        <v>453</v>
      </c>
      <c r="Z1156" t="n">
        <v>354</v>
      </c>
      <c r="AA1156" t="n">
        <v>375</v>
      </c>
      <c r="AB1156" t="n">
        <v>3</v>
      </c>
      <c r="AC1156" t="n">
        <v>3</v>
      </c>
      <c r="AD1156" t="n">
        <v>16</v>
      </c>
      <c r="AE1156" t="n">
        <v>17</v>
      </c>
      <c r="AF1156" t="n">
        <v>6</v>
      </c>
      <c r="AG1156" t="n">
        <v>7</v>
      </c>
      <c r="AH1156" t="n">
        <v>4</v>
      </c>
      <c r="AI1156" t="n">
        <v>4</v>
      </c>
      <c r="AJ1156" t="n">
        <v>8</v>
      </c>
      <c r="AK1156" t="n">
        <v>8</v>
      </c>
      <c r="AL1156" t="n">
        <v>2</v>
      </c>
      <c r="AM1156" t="n">
        <v>2</v>
      </c>
      <c r="AN1156" t="n">
        <v>0</v>
      </c>
      <c r="AO1156" t="n">
        <v>0</v>
      </c>
      <c r="AP1156" t="inlineStr">
        <is>
          <t>No</t>
        </is>
      </c>
      <c r="AQ1156" t="inlineStr">
        <is>
          <t>No</t>
        </is>
      </c>
      <c r="AS1156">
        <f>HYPERLINK("https://creighton-primo.hosted.exlibrisgroup.com/primo-explore/search?tab=default_tab&amp;search_scope=EVERYTHING&amp;vid=01CRU&amp;lang=en_US&amp;offset=0&amp;query=any,contains,991001334919702656","Catalog Record")</f>
        <v/>
      </c>
      <c r="AT1156">
        <f>HYPERLINK("http://www.worldcat.org/oclc/18350413","WorldCat Record")</f>
        <v/>
      </c>
      <c r="AU1156" t="inlineStr">
        <is>
          <t>312118735:eng</t>
        </is>
      </c>
      <c r="AV1156" t="inlineStr">
        <is>
          <t>18350413</t>
        </is>
      </c>
      <c r="AW1156" t="inlineStr">
        <is>
          <t>991001334919702656</t>
        </is>
      </c>
      <c r="AX1156" t="inlineStr">
        <is>
          <t>991001334919702656</t>
        </is>
      </c>
      <c r="AY1156" t="inlineStr">
        <is>
          <t>2262699250002656</t>
        </is>
      </c>
      <c r="AZ1156" t="inlineStr">
        <is>
          <t>BOOK</t>
        </is>
      </c>
      <c r="BB1156" t="inlineStr">
        <is>
          <t>9780306428913</t>
        </is>
      </c>
      <c r="BC1156" t="inlineStr">
        <is>
          <t>32285000357607</t>
        </is>
      </c>
      <c r="BD1156" t="inlineStr">
        <is>
          <t>893522504</t>
        </is>
      </c>
    </row>
    <row r="1157">
      <c r="A1157" t="inlineStr">
        <is>
          <t>No</t>
        </is>
      </c>
      <c r="B1157" t="inlineStr">
        <is>
          <t>BF723.S62 M37 1988</t>
        </is>
      </c>
      <c r="C1157" t="inlineStr">
        <is>
          <t>0                      BF 0723000S  62                 M  37          1988</t>
        </is>
      </c>
      <c r="D1157" t="inlineStr">
        <is>
          <t>Enhancing children's social skills : assessment and training / Johnny L. Matson, Thomas H. Ollendick.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K1157" t="inlineStr">
        <is>
          <t>Matson, Johnny L.</t>
        </is>
      </c>
      <c r="L1157" t="inlineStr">
        <is>
          <t>New York : Pergamon Press, 1988.</t>
        </is>
      </c>
      <c r="M1157" t="inlineStr">
        <is>
          <t>1988</t>
        </is>
      </c>
      <c r="N1157" t="inlineStr">
        <is>
          <t>1st ed.</t>
        </is>
      </c>
      <c r="O1157" t="inlineStr">
        <is>
          <t>eng</t>
        </is>
      </c>
      <c r="P1157" t="inlineStr">
        <is>
          <t>nyu</t>
        </is>
      </c>
      <c r="Q1157" t="inlineStr">
        <is>
          <t>Psychology practitioner guidebooks</t>
        </is>
      </c>
      <c r="R1157" t="inlineStr">
        <is>
          <t xml:space="preserve">BF </t>
        </is>
      </c>
      <c r="S1157" t="n">
        <v>7</v>
      </c>
      <c r="T1157" t="n">
        <v>7</v>
      </c>
      <c r="U1157" t="inlineStr">
        <is>
          <t>2007-11-06</t>
        </is>
      </c>
      <c r="V1157" t="inlineStr">
        <is>
          <t>2007-11-06</t>
        </is>
      </c>
      <c r="W1157" t="inlineStr">
        <is>
          <t>1990-05-04</t>
        </is>
      </c>
      <c r="X1157" t="inlineStr">
        <is>
          <t>1990-05-04</t>
        </is>
      </c>
      <c r="Y1157" t="n">
        <v>391</v>
      </c>
      <c r="Z1157" t="n">
        <v>282</v>
      </c>
      <c r="AA1157" t="n">
        <v>285</v>
      </c>
      <c r="AB1157" t="n">
        <v>5</v>
      </c>
      <c r="AC1157" t="n">
        <v>5</v>
      </c>
      <c r="AD1157" t="n">
        <v>15</v>
      </c>
      <c r="AE1157" t="n">
        <v>15</v>
      </c>
      <c r="AF1157" t="n">
        <v>5</v>
      </c>
      <c r="AG1157" t="n">
        <v>5</v>
      </c>
      <c r="AH1157" t="n">
        <v>2</v>
      </c>
      <c r="AI1157" t="n">
        <v>2</v>
      </c>
      <c r="AJ1157" t="n">
        <v>8</v>
      </c>
      <c r="AK1157" t="n">
        <v>8</v>
      </c>
      <c r="AL1157" t="n">
        <v>4</v>
      </c>
      <c r="AM1157" t="n">
        <v>4</v>
      </c>
      <c r="AN1157" t="n">
        <v>0</v>
      </c>
      <c r="AO1157" t="n">
        <v>0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HYPERLINK("http://catalog.hathitrust.org/Record/000914997","HathiTrust Record")</f>
        <v/>
      </c>
      <c r="AS1157">
        <f>HYPERLINK("https://creighton-primo.hosted.exlibrisgroup.com/primo-explore/search?tab=default_tab&amp;search_scope=EVERYTHING&amp;vid=01CRU&amp;lang=en_US&amp;offset=0&amp;query=any,contains,991001115839702656","Catalog Record")</f>
        <v/>
      </c>
      <c r="AT1157">
        <f>HYPERLINK("http://www.worldcat.org/oclc/16526075","WorldCat Record")</f>
        <v/>
      </c>
      <c r="AU1157" t="inlineStr">
        <is>
          <t>12477571:eng</t>
        </is>
      </c>
      <c r="AV1157" t="inlineStr">
        <is>
          <t>16526075</t>
        </is>
      </c>
      <c r="AW1157" t="inlineStr">
        <is>
          <t>991001115839702656</t>
        </is>
      </c>
      <c r="AX1157" t="inlineStr">
        <is>
          <t>991001115839702656</t>
        </is>
      </c>
      <c r="AY1157" t="inlineStr">
        <is>
          <t>2256369430002656</t>
        </is>
      </c>
      <c r="AZ1157" t="inlineStr">
        <is>
          <t>BOOK</t>
        </is>
      </c>
      <c r="BB1157" t="inlineStr">
        <is>
          <t>9780080343075</t>
        </is>
      </c>
      <c r="BC1157" t="inlineStr">
        <is>
          <t>32285000119528</t>
        </is>
      </c>
      <c r="BD1157" t="inlineStr">
        <is>
          <t>893715191</t>
        </is>
      </c>
    </row>
    <row r="1158">
      <c r="A1158" t="inlineStr">
        <is>
          <t>No</t>
        </is>
      </c>
      <c r="B1158" t="inlineStr">
        <is>
          <t>BF723.S63 L3813</t>
        </is>
      </c>
      <c r="C1158" t="inlineStr">
        <is>
          <t>0                      BF 0723000S  63                 L  3813</t>
        </is>
      </c>
      <c r="D1158" t="inlineStr">
        <is>
          <t>The development of the concept of space in the child [by] Monique Laurendeau and Adrien Pinard.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Laurendeau-Bendavid, Monique.</t>
        </is>
      </c>
      <c r="L1158" t="inlineStr">
        <is>
          <t>New York, International Universities Press [1970]</t>
        </is>
      </c>
      <c r="M1158" t="inlineStr">
        <is>
          <t>1970</t>
        </is>
      </c>
      <c r="O1158" t="inlineStr">
        <is>
          <t>eng</t>
        </is>
      </c>
      <c r="P1158" t="inlineStr">
        <is>
          <t>nyu</t>
        </is>
      </c>
      <c r="R1158" t="inlineStr">
        <is>
          <t xml:space="preserve">BF </t>
        </is>
      </c>
      <c r="S1158" t="n">
        <v>1</v>
      </c>
      <c r="T1158" t="n">
        <v>1</v>
      </c>
      <c r="U1158" t="inlineStr">
        <is>
          <t>1997-11-09</t>
        </is>
      </c>
      <c r="V1158" t="inlineStr">
        <is>
          <t>1997-11-09</t>
        </is>
      </c>
      <c r="W1158" t="inlineStr">
        <is>
          <t>1996-08-06</t>
        </is>
      </c>
      <c r="X1158" t="inlineStr">
        <is>
          <t>1996-08-06</t>
        </is>
      </c>
      <c r="Y1158" t="n">
        <v>566</v>
      </c>
      <c r="Z1158" t="n">
        <v>465</v>
      </c>
      <c r="AA1158" t="n">
        <v>472</v>
      </c>
      <c r="AB1158" t="n">
        <v>3</v>
      </c>
      <c r="AC1158" t="n">
        <v>3</v>
      </c>
      <c r="AD1158" t="n">
        <v>18</v>
      </c>
      <c r="AE1158" t="n">
        <v>18</v>
      </c>
      <c r="AF1158" t="n">
        <v>5</v>
      </c>
      <c r="AG1158" t="n">
        <v>5</v>
      </c>
      <c r="AH1158" t="n">
        <v>5</v>
      </c>
      <c r="AI1158" t="n">
        <v>5</v>
      </c>
      <c r="AJ1158" t="n">
        <v>9</v>
      </c>
      <c r="AK1158" t="n">
        <v>9</v>
      </c>
      <c r="AL1158" t="n">
        <v>2</v>
      </c>
      <c r="AM1158" t="n">
        <v>2</v>
      </c>
      <c r="AN1158" t="n">
        <v>0</v>
      </c>
      <c r="AO1158" t="n">
        <v>0</v>
      </c>
      <c r="AP1158" t="inlineStr">
        <is>
          <t>No</t>
        </is>
      </c>
      <c r="AQ1158" t="inlineStr">
        <is>
          <t>No</t>
        </is>
      </c>
      <c r="AS1158">
        <f>HYPERLINK("https://creighton-primo.hosted.exlibrisgroup.com/primo-explore/search?tab=default_tab&amp;search_scope=EVERYTHING&amp;vid=01CRU&amp;lang=en_US&amp;offset=0&amp;query=any,contains,991000617739702656","Catalog Record")</f>
        <v/>
      </c>
      <c r="AT1158">
        <f>HYPERLINK("http://www.worldcat.org/oclc/102043","WorldCat Record")</f>
        <v/>
      </c>
      <c r="AU1158" t="inlineStr">
        <is>
          <t>3900993755:eng</t>
        </is>
      </c>
      <c r="AV1158" t="inlineStr">
        <is>
          <t>102043</t>
        </is>
      </c>
      <c r="AW1158" t="inlineStr">
        <is>
          <t>991000617739702656</t>
        </is>
      </c>
      <c r="AX1158" t="inlineStr">
        <is>
          <t>991000617739702656</t>
        </is>
      </c>
      <c r="AY1158" t="inlineStr">
        <is>
          <t>2261763850002656</t>
        </is>
      </c>
      <c r="AZ1158" t="inlineStr">
        <is>
          <t>BOOK</t>
        </is>
      </c>
      <c r="BC1158" t="inlineStr">
        <is>
          <t>32285002256765</t>
        </is>
      </c>
      <c r="BD1158" t="inlineStr">
        <is>
          <t>893407367</t>
        </is>
      </c>
    </row>
    <row r="1159">
      <c r="A1159" t="inlineStr">
        <is>
          <t>No</t>
        </is>
      </c>
      <c r="B1159" t="inlineStr">
        <is>
          <t>BF723.S75 J64 1986</t>
        </is>
      </c>
      <c r="C1159" t="inlineStr">
        <is>
          <t>0                      BF 0723000S  75                 J  64          1986</t>
        </is>
      </c>
      <c r="D1159" t="inlineStr">
        <is>
          <t>Life events as stressors in childhood and adolescence / James H. Johnson.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K1159" t="inlineStr">
        <is>
          <t>Johnson, James H. (James Harmon), 1943-</t>
        </is>
      </c>
      <c r="L1159" t="inlineStr">
        <is>
          <t>Beverly Hills : Sage Publications, c1986.</t>
        </is>
      </c>
      <c r="M1159" t="inlineStr">
        <is>
          <t>1986</t>
        </is>
      </c>
      <c r="O1159" t="inlineStr">
        <is>
          <t>eng</t>
        </is>
      </c>
      <c r="P1159" t="inlineStr">
        <is>
          <t>cau</t>
        </is>
      </c>
      <c r="Q1159" t="inlineStr">
        <is>
          <t>Developmental clinical psychology and psychiatry series ; v. 8</t>
        </is>
      </c>
      <c r="R1159" t="inlineStr">
        <is>
          <t xml:space="preserve">BF </t>
        </is>
      </c>
      <c r="S1159" t="n">
        <v>11</v>
      </c>
      <c r="T1159" t="n">
        <v>11</v>
      </c>
      <c r="U1159" t="inlineStr">
        <is>
          <t>2005-11-10</t>
        </is>
      </c>
      <c r="V1159" t="inlineStr">
        <is>
          <t>2005-11-10</t>
        </is>
      </c>
      <c r="W1159" t="inlineStr">
        <is>
          <t>1990-05-03</t>
        </is>
      </c>
      <c r="X1159" t="inlineStr">
        <is>
          <t>1990-05-03</t>
        </is>
      </c>
      <c r="Y1159" t="n">
        <v>457</v>
      </c>
      <c r="Z1159" t="n">
        <v>350</v>
      </c>
      <c r="AA1159" t="n">
        <v>356</v>
      </c>
      <c r="AB1159" t="n">
        <v>3</v>
      </c>
      <c r="AC1159" t="n">
        <v>3</v>
      </c>
      <c r="AD1159" t="n">
        <v>15</v>
      </c>
      <c r="AE1159" t="n">
        <v>15</v>
      </c>
      <c r="AF1159" t="n">
        <v>6</v>
      </c>
      <c r="AG1159" t="n">
        <v>6</v>
      </c>
      <c r="AH1159" t="n">
        <v>3</v>
      </c>
      <c r="AI1159" t="n">
        <v>3</v>
      </c>
      <c r="AJ1159" t="n">
        <v>9</v>
      </c>
      <c r="AK1159" t="n">
        <v>9</v>
      </c>
      <c r="AL1159" t="n">
        <v>2</v>
      </c>
      <c r="AM1159" t="n">
        <v>2</v>
      </c>
      <c r="AN1159" t="n">
        <v>0</v>
      </c>
      <c r="AO1159" t="n">
        <v>0</v>
      </c>
      <c r="AP1159" t="inlineStr">
        <is>
          <t>No</t>
        </is>
      </c>
      <c r="AQ1159" t="inlineStr">
        <is>
          <t>Yes</t>
        </is>
      </c>
      <c r="AR1159">
        <f>HYPERLINK("http://catalog.hathitrust.org/Record/000829630","HathiTrust Record")</f>
        <v/>
      </c>
      <c r="AS1159">
        <f>HYPERLINK("https://creighton-primo.hosted.exlibrisgroup.com/primo-explore/search?tab=default_tab&amp;search_scope=EVERYTHING&amp;vid=01CRU&amp;lang=en_US&amp;offset=0&amp;query=any,contains,991000795629702656","Catalog Record")</f>
        <v/>
      </c>
      <c r="AT1159">
        <f>HYPERLINK("http://www.worldcat.org/oclc/13185611","WorldCat Record")</f>
        <v/>
      </c>
      <c r="AU1159" t="inlineStr">
        <is>
          <t>5859335:eng</t>
        </is>
      </c>
      <c r="AV1159" t="inlineStr">
        <is>
          <t>13185611</t>
        </is>
      </c>
      <c r="AW1159" t="inlineStr">
        <is>
          <t>991000795629702656</t>
        </is>
      </c>
      <c r="AX1159" t="inlineStr">
        <is>
          <t>991000795629702656</t>
        </is>
      </c>
      <c r="AY1159" t="inlineStr">
        <is>
          <t>2256143160002656</t>
        </is>
      </c>
      <c r="AZ1159" t="inlineStr">
        <is>
          <t>BOOK</t>
        </is>
      </c>
      <c r="BB1159" t="inlineStr">
        <is>
          <t>9780803927261</t>
        </is>
      </c>
      <c r="BC1159" t="inlineStr">
        <is>
          <t>32285000147222</t>
        </is>
      </c>
      <c r="BD1159" t="inlineStr">
        <is>
          <t>893608290</t>
        </is>
      </c>
    </row>
    <row r="1160">
      <c r="A1160" t="inlineStr">
        <is>
          <t>No</t>
        </is>
      </c>
      <c r="B1160" t="inlineStr">
        <is>
          <t>BF723.S75 K55</t>
        </is>
      </c>
      <c r="C1160" t="inlineStr">
        <is>
          <t>0                      BF 0723000S  75                 K  55</t>
        </is>
      </c>
      <c r="D1160" t="inlineStr">
        <is>
          <t>Psychological emergencies of childhood.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Kliman, Gilbert.</t>
        </is>
      </c>
      <c r="L1160" t="inlineStr">
        <is>
          <t>New York, Grune &amp; Stratton [1968]</t>
        </is>
      </c>
      <c r="M1160" t="inlineStr">
        <is>
          <t>1968</t>
        </is>
      </c>
      <c r="O1160" t="inlineStr">
        <is>
          <t>eng</t>
        </is>
      </c>
      <c r="P1160" t="inlineStr">
        <is>
          <t>nyu</t>
        </is>
      </c>
      <c r="R1160" t="inlineStr">
        <is>
          <t xml:space="preserve">BF </t>
        </is>
      </c>
      <c r="S1160" t="n">
        <v>4</v>
      </c>
      <c r="T1160" t="n">
        <v>4</v>
      </c>
      <c r="U1160" t="inlineStr">
        <is>
          <t>1999-10-22</t>
        </is>
      </c>
      <c r="V1160" t="inlineStr">
        <is>
          <t>1999-10-22</t>
        </is>
      </c>
      <c r="W1160" t="inlineStr">
        <is>
          <t>1996-08-06</t>
        </is>
      </c>
      <c r="X1160" t="inlineStr">
        <is>
          <t>1996-08-06</t>
        </is>
      </c>
      <c r="Y1160" t="n">
        <v>427</v>
      </c>
      <c r="Z1160" t="n">
        <v>353</v>
      </c>
      <c r="AA1160" t="n">
        <v>362</v>
      </c>
      <c r="AB1160" t="n">
        <v>5</v>
      </c>
      <c r="AC1160" t="n">
        <v>5</v>
      </c>
      <c r="AD1160" t="n">
        <v>15</v>
      </c>
      <c r="AE1160" t="n">
        <v>15</v>
      </c>
      <c r="AF1160" t="n">
        <v>3</v>
      </c>
      <c r="AG1160" t="n">
        <v>3</v>
      </c>
      <c r="AH1160" t="n">
        <v>2</v>
      </c>
      <c r="AI1160" t="n">
        <v>2</v>
      </c>
      <c r="AJ1160" t="n">
        <v>9</v>
      </c>
      <c r="AK1160" t="n">
        <v>9</v>
      </c>
      <c r="AL1160" t="n">
        <v>2</v>
      </c>
      <c r="AM1160" t="n">
        <v>2</v>
      </c>
      <c r="AN1160" t="n">
        <v>0</v>
      </c>
      <c r="AO1160" t="n">
        <v>0</v>
      </c>
      <c r="AP1160" t="inlineStr">
        <is>
          <t>No</t>
        </is>
      </c>
      <c r="AQ1160" t="inlineStr">
        <is>
          <t>Yes</t>
        </is>
      </c>
      <c r="AR1160">
        <f>HYPERLINK("http://catalog.hathitrust.org/Record/000430217","HathiTrust Record")</f>
        <v/>
      </c>
      <c r="AS1160">
        <f>HYPERLINK("https://creighton-primo.hosted.exlibrisgroup.com/primo-explore/search?tab=default_tab&amp;search_scope=EVERYTHING&amp;vid=01CRU&amp;lang=en_US&amp;offset=0&amp;query=any,contains,991003021129702656","Catalog Record")</f>
        <v/>
      </c>
      <c r="AT1160">
        <f>HYPERLINK("http://www.worldcat.org/oclc/585793","WorldCat Record")</f>
        <v/>
      </c>
      <c r="AU1160" t="inlineStr">
        <is>
          <t>1752232:eng</t>
        </is>
      </c>
      <c r="AV1160" t="inlineStr">
        <is>
          <t>585793</t>
        </is>
      </c>
      <c r="AW1160" t="inlineStr">
        <is>
          <t>991003021129702656</t>
        </is>
      </c>
      <c r="AX1160" t="inlineStr">
        <is>
          <t>991003021129702656</t>
        </is>
      </c>
      <c r="AY1160" t="inlineStr">
        <is>
          <t>2269390970002656</t>
        </is>
      </c>
      <c r="AZ1160" t="inlineStr">
        <is>
          <t>BOOK</t>
        </is>
      </c>
      <c r="BB1160" t="inlineStr">
        <is>
          <t>9780808902348</t>
        </is>
      </c>
      <c r="BC1160" t="inlineStr">
        <is>
          <t>32285002256773</t>
        </is>
      </c>
      <c r="BD1160" t="inlineStr">
        <is>
          <t>893623057</t>
        </is>
      </c>
    </row>
    <row r="1161">
      <c r="A1161" t="inlineStr">
        <is>
          <t>No</t>
        </is>
      </c>
      <c r="B1161" t="inlineStr">
        <is>
          <t>BF723.T6 P53 1970</t>
        </is>
      </c>
      <c r="C1161" t="inlineStr">
        <is>
          <t>0                      BF 0723000T  6                  P  53          1970</t>
        </is>
      </c>
      <c r="D1161" t="inlineStr">
        <is>
          <t>The child's conception of time. Translated by A. J. Pomerans.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Piaget, Jean, 1896-1980.</t>
        </is>
      </c>
      <c r="L1161" t="inlineStr">
        <is>
          <t>New York, Basic Books [1970, c1969]</t>
        </is>
      </c>
      <c r="M1161" t="inlineStr">
        <is>
          <t>1970</t>
        </is>
      </c>
      <c r="O1161" t="inlineStr">
        <is>
          <t>eng</t>
        </is>
      </c>
      <c r="P1161" t="inlineStr">
        <is>
          <t>nyu</t>
        </is>
      </c>
      <c r="R1161" t="inlineStr">
        <is>
          <t xml:space="preserve">BF </t>
        </is>
      </c>
      <c r="S1161" t="n">
        <v>3</v>
      </c>
      <c r="T1161" t="n">
        <v>3</v>
      </c>
      <c r="U1161" t="inlineStr">
        <is>
          <t>1999-11-30</t>
        </is>
      </c>
      <c r="V1161" t="inlineStr">
        <is>
          <t>1999-11-30</t>
        </is>
      </c>
      <c r="W1161" t="inlineStr">
        <is>
          <t>1996-08-06</t>
        </is>
      </c>
      <c r="X1161" t="inlineStr">
        <is>
          <t>1996-08-06</t>
        </is>
      </c>
      <c r="Y1161" t="n">
        <v>651</v>
      </c>
      <c r="Z1161" t="n">
        <v>630</v>
      </c>
      <c r="AA1161" t="n">
        <v>856</v>
      </c>
      <c r="AB1161" t="n">
        <v>4</v>
      </c>
      <c r="AC1161" t="n">
        <v>4</v>
      </c>
      <c r="AD1161" t="n">
        <v>26</v>
      </c>
      <c r="AE1161" t="n">
        <v>30</v>
      </c>
      <c r="AF1161" t="n">
        <v>10</v>
      </c>
      <c r="AG1161" t="n">
        <v>11</v>
      </c>
      <c r="AH1161" t="n">
        <v>7</v>
      </c>
      <c r="AI1161" t="n">
        <v>8</v>
      </c>
      <c r="AJ1161" t="n">
        <v>13</v>
      </c>
      <c r="AK1161" t="n">
        <v>15</v>
      </c>
      <c r="AL1161" t="n">
        <v>3</v>
      </c>
      <c r="AM1161" t="n">
        <v>3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Yes</t>
        </is>
      </c>
      <c r="AR1161">
        <f>HYPERLINK("http://catalog.hathitrust.org/Record/000359846","HathiTrust Record")</f>
        <v/>
      </c>
      <c r="AS1161">
        <f>HYPERLINK("https://creighton-primo.hosted.exlibrisgroup.com/primo-explore/search?tab=default_tab&amp;search_scope=EVERYTHING&amp;vid=01CRU&amp;lang=en_US&amp;offset=0&amp;query=any,contains,991000125529702656","Catalog Record")</f>
        <v/>
      </c>
      <c r="AT1161">
        <f>HYPERLINK("http://www.worldcat.org/oclc/51852","WorldCat Record")</f>
        <v/>
      </c>
      <c r="AU1161" t="inlineStr">
        <is>
          <t>2829677121:eng</t>
        </is>
      </c>
      <c r="AV1161" t="inlineStr">
        <is>
          <t>51852</t>
        </is>
      </c>
      <c r="AW1161" t="inlineStr">
        <is>
          <t>991000125529702656</t>
        </is>
      </c>
      <c r="AX1161" t="inlineStr">
        <is>
          <t>991000125529702656</t>
        </is>
      </c>
      <c r="AY1161" t="inlineStr">
        <is>
          <t>2256401340002656</t>
        </is>
      </c>
      <c r="AZ1161" t="inlineStr">
        <is>
          <t>BOOK</t>
        </is>
      </c>
      <c r="BC1161" t="inlineStr">
        <is>
          <t>32285002256799</t>
        </is>
      </c>
      <c r="BD1161" t="inlineStr">
        <is>
          <t>893683179</t>
        </is>
      </c>
    </row>
    <row r="1162">
      <c r="A1162" t="inlineStr">
        <is>
          <t>No</t>
        </is>
      </c>
      <c r="B1162" t="inlineStr">
        <is>
          <t>BF724 .A25 1980</t>
        </is>
      </c>
      <c r="C1162" t="inlineStr">
        <is>
          <t>0                      BF 0724000A  25          1980</t>
        </is>
      </c>
      <c r="D1162" t="inlineStr">
        <is>
          <t>Understanding adolescence : current developments in adolescent psychology / [edited by] James F. Adams.</t>
        </is>
      </c>
      <c r="F1162" t="inlineStr">
        <is>
          <t>No</t>
        </is>
      </c>
      <c r="G1162" t="inlineStr">
        <is>
          <t>1</t>
        </is>
      </c>
      <c r="H1162" t="inlineStr">
        <is>
          <t>Yes</t>
        </is>
      </c>
      <c r="I1162" t="inlineStr">
        <is>
          <t>No</t>
        </is>
      </c>
      <c r="J1162" t="inlineStr">
        <is>
          <t>0</t>
        </is>
      </c>
      <c r="K1162" t="inlineStr">
        <is>
          <t>Adams, James Frederick, 1927-</t>
        </is>
      </c>
      <c r="L1162" t="inlineStr">
        <is>
          <t>Boston : Allyn and Bacon, c1980.</t>
        </is>
      </c>
      <c r="M1162" t="inlineStr">
        <is>
          <t>1980</t>
        </is>
      </c>
      <c r="N1162" t="inlineStr">
        <is>
          <t>4th ed.</t>
        </is>
      </c>
      <c r="O1162" t="inlineStr">
        <is>
          <t>eng</t>
        </is>
      </c>
      <c r="P1162" t="inlineStr">
        <is>
          <t>mau</t>
        </is>
      </c>
      <c r="R1162" t="inlineStr">
        <is>
          <t xml:space="preserve">BF </t>
        </is>
      </c>
      <c r="S1162" t="n">
        <v>13</v>
      </c>
      <c r="T1162" t="n">
        <v>18</v>
      </c>
      <c r="U1162" t="inlineStr">
        <is>
          <t>1998-04-13</t>
        </is>
      </c>
      <c r="V1162" t="inlineStr">
        <is>
          <t>2001-10-18</t>
        </is>
      </c>
      <c r="W1162" t="inlineStr">
        <is>
          <t>1993-04-12</t>
        </is>
      </c>
      <c r="X1162" t="inlineStr">
        <is>
          <t>1993-04-12</t>
        </is>
      </c>
      <c r="Y1162" t="n">
        <v>286</v>
      </c>
      <c r="Z1162" t="n">
        <v>218</v>
      </c>
      <c r="AA1162" t="n">
        <v>851</v>
      </c>
      <c r="AB1162" t="n">
        <v>5</v>
      </c>
      <c r="AC1162" t="n">
        <v>9</v>
      </c>
      <c r="AD1162" t="n">
        <v>8</v>
      </c>
      <c r="AE1162" t="n">
        <v>31</v>
      </c>
      <c r="AF1162" t="n">
        <v>0</v>
      </c>
      <c r="AG1162" t="n">
        <v>9</v>
      </c>
      <c r="AH1162" t="n">
        <v>1</v>
      </c>
      <c r="AI1162" t="n">
        <v>7</v>
      </c>
      <c r="AJ1162" t="n">
        <v>6</v>
      </c>
      <c r="AK1162" t="n">
        <v>17</v>
      </c>
      <c r="AL1162" t="n">
        <v>2</v>
      </c>
      <c r="AM1162" t="n">
        <v>5</v>
      </c>
      <c r="AN1162" t="n">
        <v>0</v>
      </c>
      <c r="AO1162" t="n">
        <v>0</v>
      </c>
      <c r="AP1162" t="inlineStr">
        <is>
          <t>No</t>
        </is>
      </c>
      <c r="AQ1162" t="inlineStr">
        <is>
          <t>Yes</t>
        </is>
      </c>
      <c r="AR1162">
        <f>HYPERLINK("http://catalog.hathitrust.org/Record/102214541","HathiTrust Record")</f>
        <v/>
      </c>
      <c r="AS1162">
        <f>HYPERLINK("https://creighton-primo.hosted.exlibrisgroup.com/primo-explore/search?tab=default_tab&amp;search_scope=EVERYTHING&amp;vid=01CRU&amp;lang=en_US&amp;offset=0&amp;query=any,contains,991001772939702656","Catalog Record")</f>
        <v/>
      </c>
      <c r="AT1162">
        <f>HYPERLINK("http://www.worldcat.org/oclc/5676006","WorldCat Record")</f>
        <v/>
      </c>
      <c r="AU1162" t="inlineStr">
        <is>
          <t>1312767:eng</t>
        </is>
      </c>
      <c r="AV1162" t="inlineStr">
        <is>
          <t>5676006</t>
        </is>
      </c>
      <c r="AW1162" t="inlineStr">
        <is>
          <t>991001772939702656</t>
        </is>
      </c>
      <c r="AX1162" t="inlineStr">
        <is>
          <t>991001772939702656</t>
        </is>
      </c>
      <c r="AY1162" t="inlineStr">
        <is>
          <t>2259967170002656</t>
        </is>
      </c>
      <c r="AZ1162" t="inlineStr">
        <is>
          <t>BOOK</t>
        </is>
      </c>
      <c r="BB1162" t="inlineStr">
        <is>
          <t>9780205069316</t>
        </is>
      </c>
      <c r="BC1162" t="inlineStr">
        <is>
          <t>32285001616043</t>
        </is>
      </c>
      <c r="BD1162" t="inlineStr">
        <is>
          <t>893226115</t>
        </is>
      </c>
    </row>
    <row r="1163">
      <c r="A1163" t="inlineStr">
        <is>
          <t>No</t>
        </is>
      </c>
      <c r="B1163" t="inlineStr">
        <is>
          <t>BF724 .B458</t>
        </is>
      </c>
      <c r="C1163" t="inlineStr">
        <is>
          <t>0                      BF 0724000B  458</t>
        </is>
      </c>
      <c r="D1163" t="inlineStr">
        <is>
          <t>Adolescent development / [by] Harold W. Bernard.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Bernard, Harold W. (Harold Wright), 1908-1998.</t>
        </is>
      </c>
      <c r="L1163" t="inlineStr">
        <is>
          <t>Scranton : Intext Educational Publishers, [1971]</t>
        </is>
      </c>
      <c r="M1163" t="inlineStr">
        <is>
          <t>1971</t>
        </is>
      </c>
      <c r="O1163" t="inlineStr">
        <is>
          <t>eng</t>
        </is>
      </c>
      <c r="P1163" t="inlineStr">
        <is>
          <t>pau</t>
        </is>
      </c>
      <c r="R1163" t="inlineStr">
        <is>
          <t xml:space="preserve">BF </t>
        </is>
      </c>
      <c r="S1163" t="n">
        <v>2</v>
      </c>
      <c r="T1163" t="n">
        <v>2</v>
      </c>
      <c r="U1163" t="inlineStr">
        <is>
          <t>2002-07-30</t>
        </is>
      </c>
      <c r="V1163" t="inlineStr">
        <is>
          <t>2002-07-30</t>
        </is>
      </c>
      <c r="W1163" t="inlineStr">
        <is>
          <t>1993-08-20</t>
        </is>
      </c>
      <c r="X1163" t="inlineStr">
        <is>
          <t>1993-08-20</t>
        </is>
      </c>
      <c r="Y1163" t="n">
        <v>321</v>
      </c>
      <c r="Z1163" t="n">
        <v>241</v>
      </c>
      <c r="AA1163" t="n">
        <v>248</v>
      </c>
      <c r="AB1163" t="n">
        <v>3</v>
      </c>
      <c r="AC1163" t="n">
        <v>3</v>
      </c>
      <c r="AD1163" t="n">
        <v>8</v>
      </c>
      <c r="AE1163" t="n">
        <v>8</v>
      </c>
      <c r="AF1163" t="n">
        <v>3</v>
      </c>
      <c r="AG1163" t="n">
        <v>3</v>
      </c>
      <c r="AH1163" t="n">
        <v>2</v>
      </c>
      <c r="AI1163" t="n">
        <v>2</v>
      </c>
      <c r="AJ1163" t="n">
        <v>3</v>
      </c>
      <c r="AK1163" t="n">
        <v>3</v>
      </c>
      <c r="AL1163" t="n">
        <v>2</v>
      </c>
      <c r="AM1163" t="n">
        <v>2</v>
      </c>
      <c r="AN1163" t="n">
        <v>0</v>
      </c>
      <c r="AO1163" t="n">
        <v>0</v>
      </c>
      <c r="AP1163" t="inlineStr">
        <is>
          <t>No</t>
        </is>
      </c>
      <c r="AQ1163" t="inlineStr">
        <is>
          <t>Yes</t>
        </is>
      </c>
      <c r="AR1163">
        <f>HYPERLINK("http://catalog.hathitrust.org/Record/000429440","HathiTrust Record")</f>
        <v/>
      </c>
      <c r="AS1163">
        <f>HYPERLINK("https://creighton-primo.hosted.exlibrisgroup.com/primo-explore/search?tab=default_tab&amp;search_scope=EVERYTHING&amp;vid=01CRU&amp;lang=en_US&amp;offset=0&amp;query=any,contains,991000804459702656","Catalog Record")</f>
        <v/>
      </c>
      <c r="AT1163">
        <f>HYPERLINK("http://www.worldcat.org/oclc/140128","WorldCat Record")</f>
        <v/>
      </c>
      <c r="AU1163" t="inlineStr">
        <is>
          <t>3855462186:eng</t>
        </is>
      </c>
      <c r="AV1163" t="inlineStr">
        <is>
          <t>140128</t>
        </is>
      </c>
      <c r="AW1163" t="inlineStr">
        <is>
          <t>991000804459702656</t>
        </is>
      </c>
      <c r="AX1163" t="inlineStr">
        <is>
          <t>991000804459702656</t>
        </is>
      </c>
      <c r="AY1163" t="inlineStr">
        <is>
          <t>2255544010002656</t>
        </is>
      </c>
      <c r="AZ1163" t="inlineStr">
        <is>
          <t>BOOK</t>
        </is>
      </c>
      <c r="BB1163" t="inlineStr">
        <is>
          <t>9780700223213</t>
        </is>
      </c>
      <c r="BC1163" t="inlineStr">
        <is>
          <t>32285001760544</t>
        </is>
      </c>
      <c r="BD1163" t="inlineStr">
        <is>
          <t>893608301</t>
        </is>
      </c>
    </row>
    <row r="1164">
      <c r="A1164" t="inlineStr">
        <is>
          <t>No</t>
        </is>
      </c>
      <c r="B1164" t="inlineStr">
        <is>
          <t>BF724 .B498</t>
        </is>
      </c>
      <c r="C1164" t="inlineStr">
        <is>
          <t>0                      BF 0724000B  498</t>
        </is>
      </c>
      <c r="D1164" t="inlineStr">
        <is>
          <t>The adolescent passage / by Peter Blos.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Blos, Peter.</t>
        </is>
      </c>
      <c r="L1164" t="inlineStr">
        <is>
          <t>New York : International Universities Press, [1979]</t>
        </is>
      </c>
      <c r="M1164" t="inlineStr">
        <is>
          <t>1979</t>
        </is>
      </c>
      <c r="O1164" t="inlineStr">
        <is>
          <t>eng</t>
        </is>
      </c>
      <c r="P1164" t="inlineStr">
        <is>
          <t>nyu</t>
        </is>
      </c>
      <c r="R1164" t="inlineStr">
        <is>
          <t xml:space="preserve">BF </t>
        </is>
      </c>
      <c r="S1164" t="n">
        <v>3</v>
      </c>
      <c r="T1164" t="n">
        <v>3</v>
      </c>
      <c r="U1164" t="inlineStr">
        <is>
          <t>2002-07-30</t>
        </is>
      </c>
      <c r="V1164" t="inlineStr">
        <is>
          <t>2002-07-30</t>
        </is>
      </c>
      <c r="W1164" t="inlineStr">
        <is>
          <t>1993-04-12</t>
        </is>
      </c>
      <c r="X1164" t="inlineStr">
        <is>
          <t>1993-04-12</t>
        </is>
      </c>
      <c r="Y1164" t="n">
        <v>723</v>
      </c>
      <c r="Z1164" t="n">
        <v>640</v>
      </c>
      <c r="AA1164" t="n">
        <v>647</v>
      </c>
      <c r="AB1164" t="n">
        <v>4</v>
      </c>
      <c r="AC1164" t="n">
        <v>4</v>
      </c>
      <c r="AD1164" t="n">
        <v>26</v>
      </c>
      <c r="AE1164" t="n">
        <v>26</v>
      </c>
      <c r="AF1164" t="n">
        <v>11</v>
      </c>
      <c r="AG1164" t="n">
        <v>11</v>
      </c>
      <c r="AH1164" t="n">
        <v>6</v>
      </c>
      <c r="AI1164" t="n">
        <v>6</v>
      </c>
      <c r="AJ1164" t="n">
        <v>17</v>
      </c>
      <c r="AK1164" t="n">
        <v>17</v>
      </c>
      <c r="AL1164" t="n">
        <v>1</v>
      </c>
      <c r="AM1164" t="n">
        <v>1</v>
      </c>
      <c r="AN1164" t="n">
        <v>0</v>
      </c>
      <c r="AO1164" t="n">
        <v>0</v>
      </c>
      <c r="AP1164" t="inlineStr">
        <is>
          <t>No</t>
        </is>
      </c>
      <c r="AQ1164" t="inlineStr">
        <is>
          <t>Yes</t>
        </is>
      </c>
      <c r="AR1164">
        <f>HYPERLINK("http://catalog.hathitrust.org/Record/000725973","HathiTrust Record")</f>
        <v/>
      </c>
      <c r="AS1164">
        <f>HYPERLINK("https://creighton-primo.hosted.exlibrisgroup.com/primo-explore/search?tab=default_tab&amp;search_scope=EVERYTHING&amp;vid=01CRU&amp;lang=en_US&amp;offset=0&amp;query=any,contains,991004645299702656","Catalog Record")</f>
        <v/>
      </c>
      <c r="AT1164">
        <f>HYPERLINK("http://www.worldcat.org/oclc/4491107","WorldCat Record")</f>
        <v/>
      </c>
      <c r="AU1164" t="inlineStr">
        <is>
          <t>74724:eng</t>
        </is>
      </c>
      <c r="AV1164" t="inlineStr">
        <is>
          <t>4491107</t>
        </is>
      </c>
      <c r="AW1164" t="inlineStr">
        <is>
          <t>991004645299702656</t>
        </is>
      </c>
      <c r="AX1164" t="inlineStr">
        <is>
          <t>991004645299702656</t>
        </is>
      </c>
      <c r="AY1164" t="inlineStr">
        <is>
          <t>2264037420002656</t>
        </is>
      </c>
      <c r="AZ1164" t="inlineStr">
        <is>
          <t>BOOK</t>
        </is>
      </c>
      <c r="BB1164" t="inlineStr">
        <is>
          <t>9780823600953</t>
        </is>
      </c>
      <c r="BC1164" t="inlineStr">
        <is>
          <t>32285001616050</t>
        </is>
      </c>
      <c r="BD1164" t="inlineStr">
        <is>
          <t>893337955</t>
        </is>
      </c>
    </row>
    <row r="1165">
      <c r="A1165" t="inlineStr">
        <is>
          <t>No</t>
        </is>
      </c>
      <c r="B1165" t="inlineStr">
        <is>
          <t>BF724 .F435</t>
        </is>
      </c>
      <c r="C1165" t="inlineStr">
        <is>
          <t>0                      BF 0724000F  435</t>
        </is>
      </c>
      <c r="D1165" t="inlineStr">
        <is>
          <t>Female adolescent development / edited by Max Sugar.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L1165" t="inlineStr">
        <is>
          <t>New York : Brunner/Mazel, c1979.</t>
        </is>
      </c>
      <c r="M1165" t="inlineStr">
        <is>
          <t>1979</t>
        </is>
      </c>
      <c r="O1165" t="inlineStr">
        <is>
          <t>eng</t>
        </is>
      </c>
      <c r="P1165" t="inlineStr">
        <is>
          <t>nyu</t>
        </is>
      </c>
      <c r="R1165" t="inlineStr">
        <is>
          <t xml:space="preserve">BF </t>
        </is>
      </c>
      <c r="S1165" t="n">
        <v>8</v>
      </c>
      <c r="T1165" t="n">
        <v>8</v>
      </c>
      <c r="U1165" t="inlineStr">
        <is>
          <t>1994-12-12</t>
        </is>
      </c>
      <c r="V1165" t="inlineStr">
        <is>
          <t>1994-12-12</t>
        </is>
      </c>
      <c r="W1165" t="inlineStr">
        <is>
          <t>1992-11-17</t>
        </is>
      </c>
      <c r="X1165" t="inlineStr">
        <is>
          <t>1992-11-17</t>
        </is>
      </c>
      <c r="Y1165" t="n">
        <v>635</v>
      </c>
      <c r="Z1165" t="n">
        <v>527</v>
      </c>
      <c r="AA1165" t="n">
        <v>726</v>
      </c>
      <c r="AB1165" t="n">
        <v>5</v>
      </c>
      <c r="AC1165" t="n">
        <v>8</v>
      </c>
      <c r="AD1165" t="n">
        <v>20</v>
      </c>
      <c r="AE1165" t="n">
        <v>34</v>
      </c>
      <c r="AF1165" t="n">
        <v>10</v>
      </c>
      <c r="AG1165" t="n">
        <v>15</v>
      </c>
      <c r="AH1165" t="n">
        <v>4</v>
      </c>
      <c r="AI1165" t="n">
        <v>5</v>
      </c>
      <c r="AJ1165" t="n">
        <v>7</v>
      </c>
      <c r="AK1165" t="n">
        <v>15</v>
      </c>
      <c r="AL1165" t="n">
        <v>3</v>
      </c>
      <c r="AM1165" t="n">
        <v>6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Yes</t>
        </is>
      </c>
      <c r="AR1165">
        <f>HYPERLINK("http://catalog.hathitrust.org/Record/000033276","HathiTrust Record")</f>
        <v/>
      </c>
      <c r="AS1165">
        <f>HYPERLINK("https://creighton-primo.hosted.exlibrisgroup.com/primo-explore/search?tab=default_tab&amp;search_scope=EVERYTHING&amp;vid=01CRU&amp;lang=en_US&amp;offset=0&amp;query=any,contains,991004681929702656","Catalog Record")</f>
        <v/>
      </c>
      <c r="AT1165">
        <f>HYPERLINK("http://www.worldcat.org/oclc/4570419","WorldCat Record")</f>
        <v/>
      </c>
      <c r="AU1165" t="inlineStr">
        <is>
          <t>54268395:eng</t>
        </is>
      </c>
      <c r="AV1165" t="inlineStr">
        <is>
          <t>4570419</t>
        </is>
      </c>
      <c r="AW1165" t="inlineStr">
        <is>
          <t>991004681929702656</t>
        </is>
      </c>
      <c r="AX1165" t="inlineStr">
        <is>
          <t>991004681929702656</t>
        </is>
      </c>
      <c r="AY1165" t="inlineStr">
        <is>
          <t>2268281590002656</t>
        </is>
      </c>
      <c r="AZ1165" t="inlineStr">
        <is>
          <t>BOOK</t>
        </is>
      </c>
      <c r="BB1165" t="inlineStr">
        <is>
          <t>9780876301920</t>
        </is>
      </c>
      <c r="BC1165" t="inlineStr">
        <is>
          <t>32285001406106</t>
        </is>
      </c>
      <c r="BD1165" t="inlineStr">
        <is>
          <t>893325643</t>
        </is>
      </c>
    </row>
    <row r="1166">
      <c r="A1166" t="inlineStr">
        <is>
          <t>No</t>
        </is>
      </c>
      <c r="B1166" t="inlineStr">
        <is>
          <t>BF724 .F8 1986</t>
        </is>
      </c>
      <c r="C1166" t="inlineStr">
        <is>
          <t>0                      BF 0724000F  8           1986</t>
        </is>
      </c>
      <c r="D1166" t="inlineStr">
        <is>
          <t>Adolescence, adolescents / Barbara Schneider Fuhrmann ; photographs and illustrations by Gary L. Waynick.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K1166" t="inlineStr">
        <is>
          <t>Fuhrmann, Barbara Schneider, 1940-</t>
        </is>
      </c>
      <c r="L1166" t="inlineStr">
        <is>
          <t>Boston : Little, Brown, c1986.</t>
        </is>
      </c>
      <c r="M1166" t="inlineStr">
        <is>
          <t>1986</t>
        </is>
      </c>
      <c r="O1166" t="inlineStr">
        <is>
          <t>eng</t>
        </is>
      </c>
      <c r="P1166" t="inlineStr">
        <is>
          <t>mau</t>
        </is>
      </c>
      <c r="R1166" t="inlineStr">
        <is>
          <t xml:space="preserve">BF </t>
        </is>
      </c>
      <c r="S1166" t="n">
        <v>13</v>
      </c>
      <c r="T1166" t="n">
        <v>13</v>
      </c>
      <c r="U1166" t="inlineStr">
        <is>
          <t>2002-07-30</t>
        </is>
      </c>
      <c r="V1166" t="inlineStr">
        <is>
          <t>2002-07-30</t>
        </is>
      </c>
      <c r="W1166" t="inlineStr">
        <is>
          <t>1992-03-17</t>
        </is>
      </c>
      <c r="X1166" t="inlineStr">
        <is>
          <t>1992-03-17</t>
        </is>
      </c>
      <c r="Y1166" t="n">
        <v>162</v>
      </c>
      <c r="Z1166" t="n">
        <v>138</v>
      </c>
      <c r="AA1166" t="n">
        <v>222</v>
      </c>
      <c r="AB1166" t="n">
        <v>4</v>
      </c>
      <c r="AC1166" t="n">
        <v>5</v>
      </c>
      <c r="AD1166" t="n">
        <v>8</v>
      </c>
      <c r="AE1166" t="n">
        <v>16</v>
      </c>
      <c r="AF1166" t="n">
        <v>2</v>
      </c>
      <c r="AG1166" t="n">
        <v>6</v>
      </c>
      <c r="AH1166" t="n">
        <v>0</v>
      </c>
      <c r="AI1166" t="n">
        <v>3</v>
      </c>
      <c r="AJ1166" t="n">
        <v>5</v>
      </c>
      <c r="AK1166" t="n">
        <v>9</v>
      </c>
      <c r="AL1166" t="n">
        <v>2</v>
      </c>
      <c r="AM1166" t="n">
        <v>3</v>
      </c>
      <c r="AN1166" t="n">
        <v>0</v>
      </c>
      <c r="AO1166" t="n">
        <v>0</v>
      </c>
      <c r="AP1166" t="inlineStr">
        <is>
          <t>No</t>
        </is>
      </c>
      <c r="AQ1166" t="inlineStr">
        <is>
          <t>Yes</t>
        </is>
      </c>
      <c r="AR1166">
        <f>HYPERLINK("http://catalog.hathitrust.org/Record/004446480","HathiTrust Record")</f>
        <v/>
      </c>
      <c r="AS1166">
        <f>HYPERLINK("https://creighton-primo.hosted.exlibrisgroup.com/primo-explore/search?tab=default_tab&amp;search_scope=EVERYTHING&amp;vid=01CRU&amp;lang=en_US&amp;offset=0&amp;query=any,contains,991000678199702656","Catalog Record")</f>
        <v/>
      </c>
      <c r="AT1166">
        <f>HYPERLINK("http://www.worldcat.org/oclc/12370849","WorldCat Record")</f>
        <v/>
      </c>
      <c r="AU1166" t="inlineStr">
        <is>
          <t>5028768:eng</t>
        </is>
      </c>
      <c r="AV1166" t="inlineStr">
        <is>
          <t>12370849</t>
        </is>
      </c>
      <c r="AW1166" t="inlineStr">
        <is>
          <t>991000678199702656</t>
        </is>
      </c>
      <c r="AX1166" t="inlineStr">
        <is>
          <t>991000678199702656</t>
        </is>
      </c>
      <c r="AY1166" t="inlineStr">
        <is>
          <t>2261441430002656</t>
        </is>
      </c>
      <c r="AZ1166" t="inlineStr">
        <is>
          <t>BOOK</t>
        </is>
      </c>
      <c r="BB1166" t="inlineStr">
        <is>
          <t>9780316295642</t>
        </is>
      </c>
      <c r="BC1166" t="inlineStr">
        <is>
          <t>32285001012334</t>
        </is>
      </c>
      <c r="BD1166" t="inlineStr">
        <is>
          <t>893614398</t>
        </is>
      </c>
    </row>
    <row r="1167">
      <c r="A1167" t="inlineStr">
        <is>
          <t>No</t>
        </is>
      </c>
      <c r="B1167" t="inlineStr">
        <is>
          <t>BF724 .G323 1975</t>
        </is>
      </c>
      <c r="C1167" t="inlineStr">
        <is>
          <t>0                      BF 0724000G  323         1975</t>
        </is>
      </c>
      <c r="D1167" t="inlineStr">
        <is>
          <t>Adolescence and individuality: a conceptual approach to adolescent psychology [by] Judith E. Gallatin.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Gallatin, Judith E., 1942-</t>
        </is>
      </c>
      <c r="L1167" t="inlineStr">
        <is>
          <t>New York, Harper &amp; Row [1974, c1975]</t>
        </is>
      </c>
      <c r="M1167" t="inlineStr">
        <is>
          <t>1974</t>
        </is>
      </c>
      <c r="O1167" t="inlineStr">
        <is>
          <t>eng</t>
        </is>
      </c>
      <c r="P1167" t="inlineStr">
        <is>
          <t>nyu</t>
        </is>
      </c>
      <c r="R1167" t="inlineStr">
        <is>
          <t xml:space="preserve">BF </t>
        </is>
      </c>
      <c r="S1167" t="n">
        <v>3</v>
      </c>
      <c r="T1167" t="n">
        <v>3</v>
      </c>
      <c r="U1167" t="inlineStr">
        <is>
          <t>1998-04-13</t>
        </is>
      </c>
      <c r="V1167" t="inlineStr">
        <is>
          <t>1998-04-13</t>
        </is>
      </c>
      <c r="W1167" t="inlineStr">
        <is>
          <t>1996-08-07</t>
        </is>
      </c>
      <c r="X1167" t="inlineStr">
        <is>
          <t>1996-08-07</t>
        </is>
      </c>
      <c r="Y1167" t="n">
        <v>334</v>
      </c>
      <c r="Z1167" t="n">
        <v>252</v>
      </c>
      <c r="AA1167" t="n">
        <v>277</v>
      </c>
      <c r="AB1167" t="n">
        <v>3</v>
      </c>
      <c r="AC1167" t="n">
        <v>3</v>
      </c>
      <c r="AD1167" t="n">
        <v>9</v>
      </c>
      <c r="AE1167" t="n">
        <v>9</v>
      </c>
      <c r="AF1167" t="n">
        <v>3</v>
      </c>
      <c r="AG1167" t="n">
        <v>3</v>
      </c>
      <c r="AH1167" t="n">
        <v>3</v>
      </c>
      <c r="AI1167" t="n">
        <v>3</v>
      </c>
      <c r="AJ1167" t="n">
        <v>4</v>
      </c>
      <c r="AK1167" t="n">
        <v>4</v>
      </c>
      <c r="AL1167" t="n">
        <v>1</v>
      </c>
      <c r="AM1167" t="n">
        <v>1</v>
      </c>
      <c r="AN1167" t="n">
        <v>0</v>
      </c>
      <c r="AO1167" t="n">
        <v>0</v>
      </c>
      <c r="AP1167" t="inlineStr">
        <is>
          <t>No</t>
        </is>
      </c>
      <c r="AQ1167" t="inlineStr">
        <is>
          <t>Yes</t>
        </is>
      </c>
      <c r="AR1167">
        <f>HYPERLINK("http://catalog.hathitrust.org/Record/000017132","HathiTrust Record")</f>
        <v/>
      </c>
      <c r="AS1167">
        <f>HYPERLINK("https://creighton-primo.hosted.exlibrisgroup.com/primo-explore/search?tab=default_tab&amp;search_scope=EVERYTHING&amp;vid=01CRU&amp;lang=en_US&amp;offset=0&amp;query=any,contains,991003484069702656","Catalog Record")</f>
        <v/>
      </c>
      <c r="AT1167">
        <f>HYPERLINK("http://www.worldcat.org/oclc/1031369","WorldCat Record")</f>
        <v/>
      </c>
      <c r="AU1167" t="inlineStr">
        <is>
          <t>1976388:eng</t>
        </is>
      </c>
      <c r="AV1167" t="inlineStr">
        <is>
          <t>1031369</t>
        </is>
      </c>
      <c r="AW1167" t="inlineStr">
        <is>
          <t>991003484069702656</t>
        </is>
      </c>
      <c r="AX1167" t="inlineStr">
        <is>
          <t>991003484069702656</t>
        </is>
      </c>
      <c r="AY1167" t="inlineStr">
        <is>
          <t>2265422940002656</t>
        </is>
      </c>
      <c r="AZ1167" t="inlineStr">
        <is>
          <t>BOOK</t>
        </is>
      </c>
      <c r="BB1167" t="inlineStr">
        <is>
          <t>9780060422271</t>
        </is>
      </c>
      <c r="BC1167" t="inlineStr">
        <is>
          <t>32285002256922</t>
        </is>
      </c>
      <c r="BD1167" t="inlineStr">
        <is>
          <t>893686580</t>
        </is>
      </c>
    </row>
    <row r="1168">
      <c r="A1168" t="inlineStr">
        <is>
          <t>No</t>
        </is>
      </c>
      <c r="B1168" t="inlineStr">
        <is>
          <t>BF724 .G625</t>
        </is>
      </c>
      <c r="C1168" t="inlineStr">
        <is>
          <t>0                      BF 0724000G  625</t>
        </is>
      </c>
      <c r="D1168" t="inlineStr">
        <is>
          <t>Adolescent development; readings in research and theory [by] Martin Gold and Elizabeth Douvan.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Gold, Martin, 1931-, compiler.</t>
        </is>
      </c>
      <c r="L1168" t="inlineStr">
        <is>
          <t>Boston, Allyn and Bacon [1971, c1969]</t>
        </is>
      </c>
      <c r="M1168" t="inlineStr">
        <is>
          <t>1971</t>
        </is>
      </c>
      <c r="O1168" t="inlineStr">
        <is>
          <t>eng</t>
        </is>
      </c>
      <c r="P1168" t="inlineStr">
        <is>
          <t>mau</t>
        </is>
      </c>
      <c r="R1168" t="inlineStr">
        <is>
          <t xml:space="preserve">BF </t>
        </is>
      </c>
      <c r="S1168" t="n">
        <v>1</v>
      </c>
      <c r="T1168" t="n">
        <v>1</v>
      </c>
      <c r="U1168" t="inlineStr">
        <is>
          <t>2002-07-30</t>
        </is>
      </c>
      <c r="V1168" t="inlineStr">
        <is>
          <t>2002-07-30</t>
        </is>
      </c>
      <c r="W1168" t="inlineStr">
        <is>
          <t>1996-08-06</t>
        </is>
      </c>
      <c r="X1168" t="inlineStr">
        <is>
          <t>1996-08-06</t>
        </is>
      </c>
      <c r="Y1168" t="n">
        <v>201</v>
      </c>
      <c r="Z1168" t="n">
        <v>177</v>
      </c>
      <c r="AA1168" t="n">
        <v>319</v>
      </c>
      <c r="AB1168" t="n">
        <v>2</v>
      </c>
      <c r="AC1168" t="n">
        <v>6</v>
      </c>
      <c r="AD1168" t="n">
        <v>6</v>
      </c>
      <c r="AE1168" t="n">
        <v>12</v>
      </c>
      <c r="AF1168" t="n">
        <v>2</v>
      </c>
      <c r="AG1168" t="n">
        <v>3</v>
      </c>
      <c r="AH1168" t="n">
        <v>0</v>
      </c>
      <c r="AI1168" t="n">
        <v>0</v>
      </c>
      <c r="AJ1168" t="n">
        <v>4</v>
      </c>
      <c r="AK1168" t="n">
        <v>6</v>
      </c>
      <c r="AL1168" t="n">
        <v>1</v>
      </c>
      <c r="AM1168" t="n">
        <v>4</v>
      </c>
      <c r="AN1168" t="n">
        <v>0</v>
      </c>
      <c r="AO1168" t="n">
        <v>0</v>
      </c>
      <c r="AP1168" t="inlineStr">
        <is>
          <t>No</t>
        </is>
      </c>
      <c r="AQ1168" t="inlineStr">
        <is>
          <t>No</t>
        </is>
      </c>
      <c r="AS1168">
        <f>HYPERLINK("https://creighton-primo.hosted.exlibrisgroup.com/primo-explore/search?tab=default_tab&amp;search_scope=EVERYTHING&amp;vid=01CRU&amp;lang=en_US&amp;offset=0&amp;query=any,contains,991001162259702656","Catalog Record")</f>
        <v/>
      </c>
      <c r="AT1168">
        <f>HYPERLINK("http://www.worldcat.org/oclc/186869","WorldCat Record")</f>
        <v/>
      </c>
      <c r="AU1168" t="inlineStr">
        <is>
          <t>1338226:eng</t>
        </is>
      </c>
      <c r="AV1168" t="inlineStr">
        <is>
          <t>186869</t>
        </is>
      </c>
      <c r="AW1168" t="inlineStr">
        <is>
          <t>991001162259702656</t>
        </is>
      </c>
      <c r="AX1168" t="inlineStr">
        <is>
          <t>991001162259702656</t>
        </is>
      </c>
      <c r="AY1168" t="inlineStr">
        <is>
          <t>2269478990002656</t>
        </is>
      </c>
      <c r="AZ1168" t="inlineStr">
        <is>
          <t>BOOK</t>
        </is>
      </c>
      <c r="BC1168" t="inlineStr">
        <is>
          <t>32285002256955</t>
        </is>
      </c>
      <c r="BD1168" t="inlineStr">
        <is>
          <t>893432638</t>
        </is>
      </c>
    </row>
    <row r="1169">
      <c r="A1169" t="inlineStr">
        <is>
          <t>No</t>
        </is>
      </c>
      <c r="B1169" t="inlineStr">
        <is>
          <t>BF724 .H33</t>
        </is>
      </c>
      <c r="C1169" t="inlineStr">
        <is>
          <t>0                      BF 0724000H  33</t>
        </is>
      </c>
      <c r="D1169" t="inlineStr">
        <is>
          <t>Handbooks of adolescent psychology / edited by Joseph Adelson.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L1169" t="inlineStr">
        <is>
          <t>New York : Wiley, c1980.</t>
        </is>
      </c>
      <c r="M1169" t="inlineStr">
        <is>
          <t>1979</t>
        </is>
      </c>
      <c r="O1169" t="inlineStr">
        <is>
          <t>eng</t>
        </is>
      </c>
      <c r="P1169" t="inlineStr">
        <is>
          <t>nyu</t>
        </is>
      </c>
      <c r="Q1169" t="inlineStr">
        <is>
          <t>Wiley series on personality processes</t>
        </is>
      </c>
      <c r="R1169" t="inlineStr">
        <is>
          <t xml:space="preserve">BF </t>
        </is>
      </c>
      <c r="S1169" t="n">
        <v>14</v>
      </c>
      <c r="T1169" t="n">
        <v>14</v>
      </c>
      <c r="U1169" t="inlineStr">
        <is>
          <t>2009-06-22</t>
        </is>
      </c>
      <c r="V1169" t="inlineStr">
        <is>
          <t>2009-06-22</t>
        </is>
      </c>
      <c r="W1169" t="inlineStr">
        <is>
          <t>1993-01-28</t>
        </is>
      </c>
      <c r="X1169" t="inlineStr">
        <is>
          <t>1993-01-28</t>
        </is>
      </c>
      <c r="Y1169" t="n">
        <v>871</v>
      </c>
      <c r="Z1169" t="n">
        <v>684</v>
      </c>
      <c r="AA1169" t="n">
        <v>692</v>
      </c>
      <c r="AB1169" t="n">
        <v>6</v>
      </c>
      <c r="AC1169" t="n">
        <v>6</v>
      </c>
      <c r="AD1169" t="n">
        <v>28</v>
      </c>
      <c r="AE1169" t="n">
        <v>28</v>
      </c>
      <c r="AF1169" t="n">
        <v>9</v>
      </c>
      <c r="AG1169" t="n">
        <v>9</v>
      </c>
      <c r="AH1169" t="n">
        <v>9</v>
      </c>
      <c r="AI1169" t="n">
        <v>9</v>
      </c>
      <c r="AJ1169" t="n">
        <v>15</v>
      </c>
      <c r="AK1169" t="n">
        <v>15</v>
      </c>
      <c r="AL1169" t="n">
        <v>4</v>
      </c>
      <c r="AM1169" t="n">
        <v>4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No</t>
        </is>
      </c>
      <c r="AS1169">
        <f>HYPERLINK("https://creighton-primo.hosted.exlibrisgroup.com/primo-explore/search?tab=default_tab&amp;search_scope=EVERYTHING&amp;vid=01CRU&amp;lang=en_US&amp;offset=0&amp;query=any,contains,991004840029702656","Catalog Record")</f>
        <v/>
      </c>
      <c r="AT1169">
        <f>HYPERLINK("http://www.worldcat.org/oclc/5496180","WorldCat Record")</f>
        <v/>
      </c>
      <c r="AU1169" t="inlineStr">
        <is>
          <t>54328479:eng</t>
        </is>
      </c>
      <c r="AV1169" t="inlineStr">
        <is>
          <t>5496180</t>
        </is>
      </c>
      <c r="AW1169" t="inlineStr">
        <is>
          <t>991004840029702656</t>
        </is>
      </c>
      <c r="AX1169" t="inlineStr">
        <is>
          <t>991004840029702656</t>
        </is>
      </c>
      <c r="AY1169" t="inlineStr">
        <is>
          <t>2266230000002656</t>
        </is>
      </c>
      <c r="AZ1169" t="inlineStr">
        <is>
          <t>BOOK</t>
        </is>
      </c>
      <c r="BB1169" t="inlineStr">
        <is>
          <t>9780471037934</t>
        </is>
      </c>
      <c r="BC1169" t="inlineStr">
        <is>
          <t>32285001479657</t>
        </is>
      </c>
      <c r="BD1169" t="inlineStr">
        <is>
          <t>893338188</t>
        </is>
      </c>
    </row>
    <row r="1170">
      <c r="A1170" t="inlineStr">
        <is>
          <t>No</t>
        </is>
      </c>
      <c r="B1170" t="inlineStr">
        <is>
          <t>BF724 .H333 1987</t>
        </is>
      </c>
      <c r="C1170" t="inlineStr">
        <is>
          <t>0                      BF 0724000H  333         1987</t>
        </is>
      </c>
      <c r="D1170" t="inlineStr">
        <is>
          <t>Handbook of adolescent psychology / [edited by] Vincent B. Van Hasselt, Michel Hersen.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L1170" t="inlineStr">
        <is>
          <t>New York : Pergamon Press, c1987.</t>
        </is>
      </c>
      <c r="M1170" t="inlineStr">
        <is>
          <t>1987</t>
        </is>
      </c>
      <c r="O1170" t="inlineStr">
        <is>
          <t>eng</t>
        </is>
      </c>
      <c r="P1170" t="inlineStr">
        <is>
          <t>nyu</t>
        </is>
      </c>
      <c r="Q1170" t="inlineStr">
        <is>
          <t>Pergamon general psychology series</t>
        </is>
      </c>
      <c r="R1170" t="inlineStr">
        <is>
          <t xml:space="preserve">BF </t>
        </is>
      </c>
      <c r="S1170" t="n">
        <v>11</v>
      </c>
      <c r="T1170" t="n">
        <v>11</v>
      </c>
      <c r="U1170" t="inlineStr">
        <is>
          <t>1999-11-16</t>
        </is>
      </c>
      <c r="V1170" t="inlineStr">
        <is>
          <t>1999-11-16</t>
        </is>
      </c>
      <c r="W1170" t="inlineStr">
        <is>
          <t>1992-03-17</t>
        </is>
      </c>
      <c r="X1170" t="inlineStr">
        <is>
          <t>1992-03-17</t>
        </is>
      </c>
      <c r="Y1170" t="n">
        <v>515</v>
      </c>
      <c r="Z1170" t="n">
        <v>388</v>
      </c>
      <c r="AA1170" t="n">
        <v>398</v>
      </c>
      <c r="AB1170" t="n">
        <v>4</v>
      </c>
      <c r="AC1170" t="n">
        <v>4</v>
      </c>
      <c r="AD1170" t="n">
        <v>16</v>
      </c>
      <c r="AE1170" t="n">
        <v>16</v>
      </c>
      <c r="AF1170" t="n">
        <v>3</v>
      </c>
      <c r="AG1170" t="n">
        <v>3</v>
      </c>
      <c r="AH1170" t="n">
        <v>3</v>
      </c>
      <c r="AI1170" t="n">
        <v>3</v>
      </c>
      <c r="AJ1170" t="n">
        <v>10</v>
      </c>
      <c r="AK1170" t="n">
        <v>10</v>
      </c>
      <c r="AL1170" t="n">
        <v>3</v>
      </c>
      <c r="AM1170" t="n">
        <v>3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Yes</t>
        </is>
      </c>
      <c r="AR1170">
        <f>HYPERLINK("http://catalog.hathitrust.org/Record/000884151","HathiTrust Record")</f>
        <v/>
      </c>
      <c r="AS1170">
        <f>HYPERLINK("https://creighton-primo.hosted.exlibrisgroup.com/primo-explore/search?tab=default_tab&amp;search_scope=EVERYTHING&amp;vid=01CRU&amp;lang=en_US&amp;offset=0&amp;query=any,contains,991000867259702656","Catalog Record")</f>
        <v/>
      </c>
      <c r="AT1170">
        <f>HYPERLINK("http://www.worldcat.org/oclc/13760567","WorldCat Record")</f>
        <v/>
      </c>
      <c r="AU1170" t="inlineStr">
        <is>
          <t>351152445:eng</t>
        </is>
      </c>
      <c r="AV1170" t="inlineStr">
        <is>
          <t>13760567</t>
        </is>
      </c>
      <c r="AW1170" t="inlineStr">
        <is>
          <t>991000867259702656</t>
        </is>
      </c>
      <c r="AX1170" t="inlineStr">
        <is>
          <t>991000867259702656</t>
        </is>
      </c>
      <c r="AY1170" t="inlineStr">
        <is>
          <t>2266262290002656</t>
        </is>
      </c>
      <c r="AZ1170" t="inlineStr">
        <is>
          <t>BOOK</t>
        </is>
      </c>
      <c r="BB1170" t="inlineStr">
        <is>
          <t>9780080319230</t>
        </is>
      </c>
      <c r="BC1170" t="inlineStr">
        <is>
          <t>32285001012342</t>
        </is>
      </c>
      <c r="BD1170" t="inlineStr">
        <is>
          <t>893897291</t>
        </is>
      </c>
    </row>
    <row r="1171">
      <c r="A1171" t="inlineStr">
        <is>
          <t>No</t>
        </is>
      </c>
      <c r="B1171" t="inlineStr">
        <is>
          <t>BF724 .I33 1977</t>
        </is>
      </c>
      <c r="C1171" t="inlineStr">
        <is>
          <t>0                      BF 0724000I  33          1977</t>
        </is>
      </c>
      <c r="D1171" t="inlineStr">
        <is>
          <t>Identity and adulthood / edited by Sudhir Kakar ; with an introductory lecture by Erik H. Erikson.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L1171" t="inlineStr">
        <is>
          <t>Delhi : Oxford University Press, 1979.</t>
        </is>
      </c>
      <c r="M1171" t="inlineStr">
        <is>
          <t>1979</t>
        </is>
      </c>
      <c r="O1171" t="inlineStr">
        <is>
          <t>eng</t>
        </is>
      </c>
      <c r="P1171" t="inlineStr">
        <is>
          <t xml:space="preserve">ii </t>
        </is>
      </c>
      <c r="R1171" t="inlineStr">
        <is>
          <t xml:space="preserve">BF </t>
        </is>
      </c>
      <c r="S1171" t="n">
        <v>1</v>
      </c>
      <c r="T1171" t="n">
        <v>1</v>
      </c>
      <c r="U1171" t="inlineStr">
        <is>
          <t>1992-11-04</t>
        </is>
      </c>
      <c r="V1171" t="inlineStr">
        <is>
          <t>1992-11-04</t>
        </is>
      </c>
      <c r="W1171" t="inlineStr">
        <is>
          <t>1992-02-19</t>
        </is>
      </c>
      <c r="X1171" t="inlineStr">
        <is>
          <t>1992-02-19</t>
        </is>
      </c>
      <c r="Y1171" t="n">
        <v>161</v>
      </c>
      <c r="Z1171" t="n">
        <v>116</v>
      </c>
      <c r="AA1171" t="n">
        <v>198</v>
      </c>
      <c r="AB1171" t="n">
        <v>2</v>
      </c>
      <c r="AC1171" t="n">
        <v>2</v>
      </c>
      <c r="AD1171" t="n">
        <v>4</v>
      </c>
      <c r="AE1171" t="n">
        <v>5</v>
      </c>
      <c r="AF1171" t="n">
        <v>0</v>
      </c>
      <c r="AG1171" t="n">
        <v>0</v>
      </c>
      <c r="AH1171" t="n">
        <v>2</v>
      </c>
      <c r="AI1171" t="n">
        <v>2</v>
      </c>
      <c r="AJ1171" t="n">
        <v>3</v>
      </c>
      <c r="AK1171" t="n">
        <v>4</v>
      </c>
      <c r="AL1171" t="n">
        <v>1</v>
      </c>
      <c r="AM1171" t="n">
        <v>1</v>
      </c>
      <c r="AN1171" t="n">
        <v>0</v>
      </c>
      <c r="AO1171" t="n">
        <v>0</v>
      </c>
      <c r="AP1171" t="inlineStr">
        <is>
          <t>No</t>
        </is>
      </c>
      <c r="AQ1171" t="inlineStr">
        <is>
          <t>Yes</t>
        </is>
      </c>
      <c r="AR1171">
        <f>HYPERLINK("http://catalog.hathitrust.org/Record/000095092","HathiTrust Record")</f>
        <v/>
      </c>
      <c r="AS1171">
        <f>HYPERLINK("https://creighton-primo.hosted.exlibrisgroup.com/primo-explore/search?tab=default_tab&amp;search_scope=EVERYTHING&amp;vid=01CRU&amp;lang=en_US&amp;offset=0&amp;query=any,contains,991004891379702656","Catalog Record")</f>
        <v/>
      </c>
      <c r="AT1171">
        <f>HYPERLINK("http://www.worldcat.org/oclc/5877693","WorldCat Record")</f>
        <v/>
      </c>
      <c r="AU1171" t="inlineStr">
        <is>
          <t>54358309:eng</t>
        </is>
      </c>
      <c r="AV1171" t="inlineStr">
        <is>
          <t>5877693</t>
        </is>
      </c>
      <c r="AW1171" t="inlineStr">
        <is>
          <t>991004891379702656</t>
        </is>
      </c>
      <c r="AX1171" t="inlineStr">
        <is>
          <t>991004891379702656</t>
        </is>
      </c>
      <c r="AY1171" t="inlineStr">
        <is>
          <t>2266345060002656</t>
        </is>
      </c>
      <c r="AZ1171" t="inlineStr">
        <is>
          <t>BOOK</t>
        </is>
      </c>
      <c r="BC1171" t="inlineStr">
        <is>
          <t>32285000971746</t>
        </is>
      </c>
      <c r="BD1171" t="inlineStr">
        <is>
          <t>893782767</t>
        </is>
      </c>
    </row>
    <row r="1172">
      <c r="A1172" t="inlineStr">
        <is>
          <t>No</t>
        </is>
      </c>
      <c r="B1172" t="inlineStr">
        <is>
          <t>BF724 .J4 1963</t>
        </is>
      </c>
      <c r="C1172" t="inlineStr">
        <is>
          <t>0                      BF 0724000J  4           1963</t>
        </is>
      </c>
      <c r="D1172" t="inlineStr">
        <is>
          <t>The psychology of adolescence.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Jersild, Arthur T. (Arthur Thomas), 1902-1994.</t>
        </is>
      </c>
      <c r="L1172" t="inlineStr">
        <is>
          <t>New York : Macmillan, [1963]</t>
        </is>
      </c>
      <c r="M1172" t="inlineStr">
        <is>
          <t>1963</t>
        </is>
      </c>
      <c r="N1172" t="inlineStr">
        <is>
          <t>2d ed.</t>
        </is>
      </c>
      <c r="O1172" t="inlineStr">
        <is>
          <t>eng</t>
        </is>
      </c>
      <c r="P1172" t="inlineStr">
        <is>
          <t>nyu</t>
        </is>
      </c>
      <c r="R1172" t="inlineStr">
        <is>
          <t xml:space="preserve">BF </t>
        </is>
      </c>
      <c r="S1172" t="n">
        <v>2</v>
      </c>
      <c r="T1172" t="n">
        <v>2</v>
      </c>
      <c r="U1172" t="inlineStr">
        <is>
          <t>1998-11-21</t>
        </is>
      </c>
      <c r="V1172" t="inlineStr">
        <is>
          <t>1998-11-21</t>
        </is>
      </c>
      <c r="W1172" t="inlineStr">
        <is>
          <t>1996-04-24</t>
        </is>
      </c>
      <c r="X1172" t="inlineStr">
        <is>
          <t>1996-04-24</t>
        </is>
      </c>
      <c r="Y1172" t="n">
        <v>708</v>
      </c>
      <c r="Z1172" t="n">
        <v>575</v>
      </c>
      <c r="AA1172" t="n">
        <v>955</v>
      </c>
      <c r="AB1172" t="n">
        <v>6</v>
      </c>
      <c r="AC1172" t="n">
        <v>7</v>
      </c>
      <c r="AD1172" t="n">
        <v>25</v>
      </c>
      <c r="AE1172" t="n">
        <v>30</v>
      </c>
      <c r="AF1172" t="n">
        <v>9</v>
      </c>
      <c r="AG1172" t="n">
        <v>12</v>
      </c>
      <c r="AH1172" t="n">
        <v>5</v>
      </c>
      <c r="AI1172" t="n">
        <v>6</v>
      </c>
      <c r="AJ1172" t="n">
        <v>13</v>
      </c>
      <c r="AK1172" t="n">
        <v>16</v>
      </c>
      <c r="AL1172" t="n">
        <v>4</v>
      </c>
      <c r="AM1172" t="n">
        <v>5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Yes</t>
        </is>
      </c>
      <c r="AR1172">
        <f>HYPERLINK("http://catalog.hathitrust.org/Record/000429677","HathiTrust Record")</f>
        <v/>
      </c>
      <c r="AS1172">
        <f>HYPERLINK("https://creighton-primo.hosted.exlibrisgroup.com/primo-explore/search?tab=default_tab&amp;search_scope=EVERYTHING&amp;vid=01CRU&amp;lang=en_US&amp;offset=0&amp;query=any,contains,991002733559702656","Catalog Record")</f>
        <v/>
      </c>
      <c r="AT1172">
        <f>HYPERLINK("http://www.worldcat.org/oclc/418149","WorldCat Record")</f>
        <v/>
      </c>
      <c r="AU1172" t="inlineStr">
        <is>
          <t>158952214:eng</t>
        </is>
      </c>
      <c r="AV1172" t="inlineStr">
        <is>
          <t>418149</t>
        </is>
      </c>
      <c r="AW1172" t="inlineStr">
        <is>
          <t>991002733559702656</t>
        </is>
      </c>
      <c r="AX1172" t="inlineStr">
        <is>
          <t>991002733559702656</t>
        </is>
      </c>
      <c r="AY1172" t="inlineStr">
        <is>
          <t>2261098900002656</t>
        </is>
      </c>
      <c r="AZ1172" t="inlineStr">
        <is>
          <t>BOOK</t>
        </is>
      </c>
      <c r="BC1172" t="inlineStr">
        <is>
          <t>32285002160264</t>
        </is>
      </c>
      <c r="BD1172" t="inlineStr">
        <is>
          <t>893691936</t>
        </is>
      </c>
    </row>
    <row r="1173">
      <c r="A1173" t="inlineStr">
        <is>
          <t>No</t>
        </is>
      </c>
      <c r="B1173" t="inlineStr">
        <is>
          <t>BF724 .K565</t>
        </is>
      </c>
      <c r="C1173" t="inlineStr">
        <is>
          <t>0                      BF 0724000K  565</t>
        </is>
      </c>
      <c r="D1173" t="inlineStr">
        <is>
          <t>Search for acceptance : the adolescent and self-esteem / Janet Kizziar &amp; Judy Hagedorn.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Kizziar, Janet W.</t>
        </is>
      </c>
      <c r="L1173" t="inlineStr">
        <is>
          <t>Chicago : Nelson-Hall, c1979.</t>
        </is>
      </c>
      <c r="M1173" t="inlineStr">
        <is>
          <t>1979</t>
        </is>
      </c>
      <c r="O1173" t="inlineStr">
        <is>
          <t>eng</t>
        </is>
      </c>
      <c r="P1173" t="inlineStr">
        <is>
          <t>ilu</t>
        </is>
      </c>
      <c r="R1173" t="inlineStr">
        <is>
          <t xml:space="preserve">BF </t>
        </is>
      </c>
      <c r="S1173" t="n">
        <v>22</v>
      </c>
      <c r="T1173" t="n">
        <v>22</v>
      </c>
      <c r="U1173" t="inlineStr">
        <is>
          <t>2009-10-14</t>
        </is>
      </c>
      <c r="V1173" t="inlineStr">
        <is>
          <t>2009-10-14</t>
        </is>
      </c>
      <c r="W1173" t="inlineStr">
        <is>
          <t>1991-12-06</t>
        </is>
      </c>
      <c r="X1173" t="inlineStr">
        <is>
          <t>1991-12-06</t>
        </is>
      </c>
      <c r="Y1173" t="n">
        <v>397</v>
      </c>
      <c r="Z1173" t="n">
        <v>359</v>
      </c>
      <c r="AA1173" t="n">
        <v>366</v>
      </c>
      <c r="AB1173" t="n">
        <v>7</v>
      </c>
      <c r="AC1173" t="n">
        <v>7</v>
      </c>
      <c r="AD1173" t="n">
        <v>5</v>
      </c>
      <c r="AE1173" t="n">
        <v>5</v>
      </c>
      <c r="AF1173" t="n">
        <v>1</v>
      </c>
      <c r="AG1173" t="n">
        <v>1</v>
      </c>
      <c r="AH1173" t="n">
        <v>1</v>
      </c>
      <c r="AI1173" t="n">
        <v>1</v>
      </c>
      <c r="AJ1173" t="n">
        <v>2</v>
      </c>
      <c r="AK1173" t="n">
        <v>2</v>
      </c>
      <c r="AL1173" t="n">
        <v>2</v>
      </c>
      <c r="AM1173" t="n">
        <v>2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Yes</t>
        </is>
      </c>
      <c r="AR1173">
        <f>HYPERLINK("http://catalog.hathitrust.org/Record/000710379","HathiTrust Record")</f>
        <v/>
      </c>
      <c r="AS1173">
        <f>HYPERLINK("https://creighton-primo.hosted.exlibrisgroup.com/primo-explore/search?tab=default_tab&amp;search_scope=EVERYTHING&amp;vid=01CRU&amp;lang=en_US&amp;offset=0&amp;query=any,contains,991004663079702656","Catalog Record")</f>
        <v/>
      </c>
      <c r="AT1173">
        <f>HYPERLINK("http://www.worldcat.org/oclc/4498290","WorldCat Record")</f>
        <v/>
      </c>
      <c r="AU1173" t="inlineStr">
        <is>
          <t>425702725:eng</t>
        </is>
      </c>
      <c r="AV1173" t="inlineStr">
        <is>
          <t>4498290</t>
        </is>
      </c>
      <c r="AW1173" t="inlineStr">
        <is>
          <t>991004663079702656</t>
        </is>
      </c>
      <c r="AX1173" t="inlineStr">
        <is>
          <t>991004663079702656</t>
        </is>
      </c>
      <c r="AY1173" t="inlineStr">
        <is>
          <t>2262903050002656</t>
        </is>
      </c>
      <c r="AZ1173" t="inlineStr">
        <is>
          <t>BOOK</t>
        </is>
      </c>
      <c r="BB1173" t="inlineStr">
        <is>
          <t>9780882293691</t>
        </is>
      </c>
      <c r="BC1173" t="inlineStr">
        <is>
          <t>32285000838218</t>
        </is>
      </c>
      <c r="BD1173" t="inlineStr">
        <is>
          <t>893618934</t>
        </is>
      </c>
    </row>
    <row r="1174">
      <c r="A1174" t="inlineStr">
        <is>
          <t>No</t>
        </is>
      </c>
      <c r="B1174" t="inlineStr">
        <is>
          <t>BF724 .K58</t>
        </is>
      </c>
      <c r="C1174" t="inlineStr">
        <is>
          <t>0                      BF 0724000K  58</t>
        </is>
      </c>
      <c r="D1174" t="inlineStr">
        <is>
          <t>The child from 9 to 13 : the psychology of preadolescence &amp; early puberty.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Kohen-Raz, Reuven.</t>
        </is>
      </c>
      <c r="L1174" t="inlineStr">
        <is>
          <t>Chicago : Aldine-Atherton, [1971]</t>
        </is>
      </c>
      <c r="M1174" t="inlineStr">
        <is>
          <t>1971</t>
        </is>
      </c>
      <c r="O1174" t="inlineStr">
        <is>
          <t>eng</t>
        </is>
      </c>
      <c r="P1174" t="inlineStr">
        <is>
          <t>ilu</t>
        </is>
      </c>
      <c r="R1174" t="inlineStr">
        <is>
          <t xml:space="preserve">BF </t>
        </is>
      </c>
      <c r="S1174" t="n">
        <v>3</v>
      </c>
      <c r="T1174" t="n">
        <v>3</v>
      </c>
      <c r="U1174" t="inlineStr">
        <is>
          <t>1998-09-24</t>
        </is>
      </c>
      <c r="V1174" t="inlineStr">
        <is>
          <t>1998-09-24</t>
        </is>
      </c>
      <c r="W1174" t="inlineStr">
        <is>
          <t>1994-03-08</t>
        </is>
      </c>
      <c r="X1174" t="inlineStr">
        <is>
          <t>1994-03-08</t>
        </is>
      </c>
      <c r="Y1174" t="n">
        <v>417</v>
      </c>
      <c r="Z1174" t="n">
        <v>350</v>
      </c>
      <c r="AA1174" t="n">
        <v>351</v>
      </c>
      <c r="AB1174" t="n">
        <v>3</v>
      </c>
      <c r="AC1174" t="n">
        <v>3</v>
      </c>
      <c r="AD1174" t="n">
        <v>11</v>
      </c>
      <c r="AE1174" t="n">
        <v>11</v>
      </c>
      <c r="AF1174" t="n">
        <v>1</v>
      </c>
      <c r="AG1174" t="n">
        <v>1</v>
      </c>
      <c r="AH1174" t="n">
        <v>2</v>
      </c>
      <c r="AI1174" t="n">
        <v>2</v>
      </c>
      <c r="AJ1174" t="n">
        <v>7</v>
      </c>
      <c r="AK1174" t="n">
        <v>7</v>
      </c>
      <c r="AL1174" t="n">
        <v>2</v>
      </c>
      <c r="AM1174" t="n">
        <v>2</v>
      </c>
      <c r="AN1174" t="n">
        <v>0</v>
      </c>
      <c r="AO1174" t="n">
        <v>0</v>
      </c>
      <c r="AP1174" t="inlineStr">
        <is>
          <t>No</t>
        </is>
      </c>
      <c r="AQ1174" t="inlineStr">
        <is>
          <t>Yes</t>
        </is>
      </c>
      <c r="AR1174">
        <f>HYPERLINK("http://catalog.hathitrust.org/Record/004446499","HathiTrust Record")</f>
        <v/>
      </c>
      <c r="AS1174">
        <f>HYPERLINK("https://creighton-primo.hosted.exlibrisgroup.com/primo-explore/search?tab=default_tab&amp;search_scope=EVERYTHING&amp;vid=01CRU&amp;lang=en_US&amp;offset=0&amp;query=any,contains,991001263409702656","Catalog Record")</f>
        <v/>
      </c>
      <c r="AT1174">
        <f>HYPERLINK("http://www.worldcat.org/oclc/209766","WorldCat Record")</f>
        <v/>
      </c>
      <c r="AU1174" t="inlineStr">
        <is>
          <t>889760550:eng</t>
        </is>
      </c>
      <c r="AV1174" t="inlineStr">
        <is>
          <t>209766</t>
        </is>
      </c>
      <c r="AW1174" t="inlineStr">
        <is>
          <t>991001263409702656</t>
        </is>
      </c>
      <c r="AX1174" t="inlineStr">
        <is>
          <t>991001263409702656</t>
        </is>
      </c>
      <c r="AY1174" t="inlineStr">
        <is>
          <t>2270871630002656</t>
        </is>
      </c>
      <c r="AZ1174" t="inlineStr">
        <is>
          <t>BOOK</t>
        </is>
      </c>
      <c r="BC1174" t="inlineStr">
        <is>
          <t>32285001852739</t>
        </is>
      </c>
      <c r="BD1174" t="inlineStr">
        <is>
          <t>893444643</t>
        </is>
      </c>
    </row>
    <row r="1175">
      <c r="A1175" t="inlineStr">
        <is>
          <t>No</t>
        </is>
      </c>
      <c r="B1175" t="inlineStr">
        <is>
          <t>BF724 .K8</t>
        </is>
      </c>
      <c r="C1175" t="inlineStr">
        <is>
          <t>0                      BF 0724000K  8</t>
        </is>
      </c>
      <c r="D1175" t="inlineStr">
        <is>
          <t>The psychology of adolescent development.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Kuhlen, Raymond G. (Raymond Gerhardt), 1913-1967.</t>
        </is>
      </c>
      <c r="L1175" t="inlineStr">
        <is>
          <t>New York, Harper [1952]</t>
        </is>
      </c>
      <c r="M1175" t="inlineStr">
        <is>
          <t>1952</t>
        </is>
      </c>
      <c r="O1175" t="inlineStr">
        <is>
          <t>eng</t>
        </is>
      </c>
      <c r="P1175" t="inlineStr">
        <is>
          <t>nyu</t>
        </is>
      </c>
      <c r="R1175" t="inlineStr">
        <is>
          <t xml:space="preserve">BF </t>
        </is>
      </c>
      <c r="S1175" t="n">
        <v>1</v>
      </c>
      <c r="T1175" t="n">
        <v>1</v>
      </c>
      <c r="U1175" t="inlineStr">
        <is>
          <t>2009-02-25</t>
        </is>
      </c>
      <c r="V1175" t="inlineStr">
        <is>
          <t>2009-02-25</t>
        </is>
      </c>
      <c r="W1175" t="inlineStr">
        <is>
          <t>1996-08-07</t>
        </is>
      </c>
      <c r="X1175" t="inlineStr">
        <is>
          <t>1996-08-07</t>
        </is>
      </c>
      <c r="Y1175" t="n">
        <v>602</v>
      </c>
      <c r="Z1175" t="n">
        <v>499</v>
      </c>
      <c r="AA1175" t="n">
        <v>504</v>
      </c>
      <c r="AB1175" t="n">
        <v>2</v>
      </c>
      <c r="AC1175" t="n">
        <v>2</v>
      </c>
      <c r="AD1175" t="n">
        <v>20</v>
      </c>
      <c r="AE1175" t="n">
        <v>20</v>
      </c>
      <c r="AF1175" t="n">
        <v>8</v>
      </c>
      <c r="AG1175" t="n">
        <v>8</v>
      </c>
      <c r="AH1175" t="n">
        <v>6</v>
      </c>
      <c r="AI1175" t="n">
        <v>6</v>
      </c>
      <c r="AJ1175" t="n">
        <v>10</v>
      </c>
      <c r="AK1175" t="n">
        <v>10</v>
      </c>
      <c r="AL1175" t="n">
        <v>1</v>
      </c>
      <c r="AM1175" t="n">
        <v>1</v>
      </c>
      <c r="AN1175" t="n">
        <v>0</v>
      </c>
      <c r="AO1175" t="n">
        <v>0</v>
      </c>
      <c r="AP1175" t="inlineStr">
        <is>
          <t>No</t>
        </is>
      </c>
      <c r="AQ1175" t="inlineStr">
        <is>
          <t>Yes</t>
        </is>
      </c>
      <c r="AR1175">
        <f>HYPERLINK("http://catalog.hathitrust.org/Record/000430737","HathiTrust Record")</f>
        <v/>
      </c>
      <c r="AS1175">
        <f>HYPERLINK("https://creighton-primo.hosted.exlibrisgroup.com/primo-explore/search?tab=default_tab&amp;search_scope=EVERYTHING&amp;vid=01CRU&amp;lang=en_US&amp;offset=0&amp;query=any,contains,991001369119702656","Catalog Record")</f>
        <v/>
      </c>
      <c r="AT1175">
        <f>HYPERLINK("http://www.worldcat.org/oclc/223019","WorldCat Record")</f>
        <v/>
      </c>
      <c r="AU1175" t="inlineStr">
        <is>
          <t>199013243:eng</t>
        </is>
      </c>
      <c r="AV1175" t="inlineStr">
        <is>
          <t>223019</t>
        </is>
      </c>
      <c r="AW1175" t="inlineStr">
        <is>
          <t>991001369119702656</t>
        </is>
      </c>
      <c r="AX1175" t="inlineStr">
        <is>
          <t>991001369119702656</t>
        </is>
      </c>
      <c r="AY1175" t="inlineStr">
        <is>
          <t>2262299070002656</t>
        </is>
      </c>
      <c r="AZ1175" t="inlineStr">
        <is>
          <t>BOOK</t>
        </is>
      </c>
      <c r="BC1175" t="inlineStr">
        <is>
          <t>32285002257011</t>
        </is>
      </c>
      <c r="BD1175" t="inlineStr">
        <is>
          <t>893522522</t>
        </is>
      </c>
    </row>
    <row r="1176">
      <c r="A1176" t="inlineStr">
        <is>
          <t>No</t>
        </is>
      </c>
      <c r="B1176" t="inlineStr">
        <is>
          <t>BF724 .M27</t>
        </is>
      </c>
      <c r="C1176" t="inlineStr">
        <is>
          <t>0                      BF 0724000M  27</t>
        </is>
      </c>
      <c r="D1176" t="inlineStr">
        <is>
          <t>Adolescent development and the life tasks / Guy J. Manaster.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Manaster, Guy J.</t>
        </is>
      </c>
      <c r="L1176" t="inlineStr">
        <is>
          <t>Boston : Allyn and Bacon, c1977.</t>
        </is>
      </c>
      <c r="M1176" t="inlineStr">
        <is>
          <t>1977</t>
        </is>
      </c>
      <c r="O1176" t="inlineStr">
        <is>
          <t>eng</t>
        </is>
      </c>
      <c r="P1176" t="inlineStr">
        <is>
          <t>mau</t>
        </is>
      </c>
      <c r="R1176" t="inlineStr">
        <is>
          <t xml:space="preserve">BF </t>
        </is>
      </c>
      <c r="S1176" t="n">
        <v>7</v>
      </c>
      <c r="T1176" t="n">
        <v>7</v>
      </c>
      <c r="U1176" t="inlineStr">
        <is>
          <t>2007-11-26</t>
        </is>
      </c>
      <c r="V1176" t="inlineStr">
        <is>
          <t>2007-11-26</t>
        </is>
      </c>
      <c r="W1176" t="inlineStr">
        <is>
          <t>1994-03-03</t>
        </is>
      </c>
      <c r="X1176" t="inlineStr">
        <is>
          <t>1994-03-03</t>
        </is>
      </c>
      <c r="Y1176" t="n">
        <v>451</v>
      </c>
      <c r="Z1176" t="n">
        <v>345</v>
      </c>
      <c r="AA1176" t="n">
        <v>346</v>
      </c>
      <c r="AB1176" t="n">
        <v>4</v>
      </c>
      <c r="AC1176" t="n">
        <v>4</v>
      </c>
      <c r="AD1176" t="n">
        <v>15</v>
      </c>
      <c r="AE1176" t="n">
        <v>15</v>
      </c>
      <c r="AF1176" t="n">
        <v>6</v>
      </c>
      <c r="AG1176" t="n">
        <v>6</v>
      </c>
      <c r="AH1176" t="n">
        <v>4</v>
      </c>
      <c r="AI1176" t="n">
        <v>4</v>
      </c>
      <c r="AJ1176" t="n">
        <v>6</v>
      </c>
      <c r="AK1176" t="n">
        <v>6</v>
      </c>
      <c r="AL1176" t="n">
        <v>2</v>
      </c>
      <c r="AM1176" t="n">
        <v>2</v>
      </c>
      <c r="AN1176" t="n">
        <v>0</v>
      </c>
      <c r="AO1176" t="n">
        <v>0</v>
      </c>
      <c r="AP1176" t="inlineStr">
        <is>
          <t>No</t>
        </is>
      </c>
      <c r="AQ1176" t="inlineStr">
        <is>
          <t>Yes</t>
        </is>
      </c>
      <c r="AR1176">
        <f>HYPERLINK("http://catalog.hathitrust.org/Record/007473687","HathiTrust Record")</f>
        <v/>
      </c>
      <c r="AS1176">
        <f>HYPERLINK("https://creighton-primo.hosted.exlibrisgroup.com/primo-explore/search?tab=default_tab&amp;search_scope=EVERYTHING&amp;vid=01CRU&amp;lang=en_US&amp;offset=0&amp;query=any,contains,991004138749702656","Catalog Record")</f>
        <v/>
      </c>
      <c r="AT1176">
        <f>HYPERLINK("http://www.worldcat.org/oclc/2493355","WorldCat Record")</f>
        <v/>
      </c>
      <c r="AU1176" t="inlineStr">
        <is>
          <t>5376528:eng</t>
        </is>
      </c>
      <c r="AV1176" t="inlineStr">
        <is>
          <t>2493355</t>
        </is>
      </c>
      <c r="AW1176" t="inlineStr">
        <is>
          <t>991004138749702656</t>
        </is>
      </c>
      <c r="AX1176" t="inlineStr">
        <is>
          <t>991004138749702656</t>
        </is>
      </c>
      <c r="AY1176" t="inlineStr">
        <is>
          <t>2256442190002656</t>
        </is>
      </c>
      <c r="AZ1176" t="inlineStr">
        <is>
          <t>BOOK</t>
        </is>
      </c>
      <c r="BB1176" t="inlineStr">
        <is>
          <t>9780205055470</t>
        </is>
      </c>
      <c r="BC1176" t="inlineStr">
        <is>
          <t>32285001851624</t>
        </is>
      </c>
      <c r="BD1176" t="inlineStr">
        <is>
          <t>893687418</t>
        </is>
      </c>
    </row>
    <row r="1177">
      <c r="A1177" t="inlineStr">
        <is>
          <t>No</t>
        </is>
      </c>
      <c r="B1177" t="inlineStr">
        <is>
          <t>BF724 .M75</t>
        </is>
      </c>
      <c r="C1177" t="inlineStr">
        <is>
          <t>0                      BF 0724000M  75</t>
        </is>
      </c>
      <c r="D1177" t="inlineStr">
        <is>
          <t>Foundations of developmental guidance [by] Harold L. Munson.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Munson, Harold L.</t>
        </is>
      </c>
      <c r="L1177" t="inlineStr">
        <is>
          <t>Boston, Allyn and Bacon [1971]</t>
        </is>
      </c>
      <c r="M1177" t="inlineStr">
        <is>
          <t>1971</t>
        </is>
      </c>
      <c r="O1177" t="inlineStr">
        <is>
          <t>eng</t>
        </is>
      </c>
      <c r="P1177" t="inlineStr">
        <is>
          <t>mau</t>
        </is>
      </c>
      <c r="R1177" t="inlineStr">
        <is>
          <t xml:space="preserve">BF </t>
        </is>
      </c>
      <c r="S1177" t="n">
        <v>3</v>
      </c>
      <c r="T1177" t="n">
        <v>3</v>
      </c>
      <c r="U1177" t="inlineStr">
        <is>
          <t>1999-11-07</t>
        </is>
      </c>
      <c r="V1177" t="inlineStr">
        <is>
          <t>1999-11-07</t>
        </is>
      </c>
      <c r="W1177" t="inlineStr">
        <is>
          <t>1996-08-07</t>
        </is>
      </c>
      <c r="X1177" t="inlineStr">
        <is>
          <t>1996-08-07</t>
        </is>
      </c>
      <c r="Y1177" t="n">
        <v>313</v>
      </c>
      <c r="Z1177" t="n">
        <v>286</v>
      </c>
      <c r="AA1177" t="n">
        <v>291</v>
      </c>
      <c r="AB1177" t="n">
        <v>2</v>
      </c>
      <c r="AC1177" t="n">
        <v>2</v>
      </c>
      <c r="AD1177" t="n">
        <v>16</v>
      </c>
      <c r="AE1177" t="n">
        <v>16</v>
      </c>
      <c r="AF1177" t="n">
        <v>9</v>
      </c>
      <c r="AG1177" t="n">
        <v>9</v>
      </c>
      <c r="AH1177" t="n">
        <v>3</v>
      </c>
      <c r="AI1177" t="n">
        <v>3</v>
      </c>
      <c r="AJ1177" t="n">
        <v>8</v>
      </c>
      <c r="AK1177" t="n">
        <v>8</v>
      </c>
      <c r="AL1177" t="n">
        <v>1</v>
      </c>
      <c r="AM1177" t="n">
        <v>1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No</t>
        </is>
      </c>
      <c r="AS1177">
        <f>HYPERLINK("https://creighton-primo.hosted.exlibrisgroup.com/primo-explore/search?tab=default_tab&amp;search_scope=EVERYTHING&amp;vid=01CRU&amp;lang=en_US&amp;offset=0&amp;query=any,contains,991000895889702656","Catalog Record")</f>
        <v/>
      </c>
      <c r="AT1177">
        <f>HYPERLINK("http://www.worldcat.org/oclc/155939","WorldCat Record")</f>
        <v/>
      </c>
      <c r="AU1177" t="inlineStr">
        <is>
          <t>1188305:eng</t>
        </is>
      </c>
      <c r="AV1177" t="inlineStr">
        <is>
          <t>155939</t>
        </is>
      </c>
      <c r="AW1177" t="inlineStr">
        <is>
          <t>991000895889702656</t>
        </is>
      </c>
      <c r="AX1177" t="inlineStr">
        <is>
          <t>991000895889702656</t>
        </is>
      </c>
      <c r="AY1177" t="inlineStr">
        <is>
          <t>2256706880002656</t>
        </is>
      </c>
      <c r="AZ1177" t="inlineStr">
        <is>
          <t>BOOK</t>
        </is>
      </c>
      <c r="BC1177" t="inlineStr">
        <is>
          <t>32285002257037</t>
        </is>
      </c>
      <c r="BD1177" t="inlineStr">
        <is>
          <t>893528479</t>
        </is>
      </c>
    </row>
    <row r="1178">
      <c r="A1178" t="inlineStr">
        <is>
          <t>No</t>
        </is>
      </c>
      <c r="B1178" t="inlineStr">
        <is>
          <t>BF724 .M8 1974</t>
        </is>
      </c>
      <c r="C1178" t="inlineStr">
        <is>
          <t>0                      BF 0724000M  8           1974</t>
        </is>
      </c>
      <c r="D1178" t="inlineStr">
        <is>
          <t>Theories of adolescence [by] Rolf E. Muuss. Consulting editor: L. Joseph Stone.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K1178" t="inlineStr">
        <is>
          <t>Muuss, Rolf Eduard Helmut, 1924-</t>
        </is>
      </c>
      <c r="L1178" t="inlineStr">
        <is>
          <t>New York, Random House [1974, c1975]</t>
        </is>
      </c>
      <c r="M1178" t="inlineStr">
        <is>
          <t>1974</t>
        </is>
      </c>
      <c r="N1178" t="inlineStr">
        <is>
          <t>3d ed.</t>
        </is>
      </c>
      <c r="O1178" t="inlineStr">
        <is>
          <t>eng</t>
        </is>
      </c>
      <c r="P1178" t="inlineStr">
        <is>
          <t>nyu</t>
        </is>
      </c>
      <c r="R1178" t="inlineStr">
        <is>
          <t xml:space="preserve">BF </t>
        </is>
      </c>
      <c r="S1178" t="n">
        <v>5</v>
      </c>
      <c r="T1178" t="n">
        <v>5</v>
      </c>
      <c r="U1178" t="inlineStr">
        <is>
          <t>2004-10-03</t>
        </is>
      </c>
      <c r="V1178" t="inlineStr">
        <is>
          <t>2004-10-03</t>
        </is>
      </c>
      <c r="W1178" t="inlineStr">
        <is>
          <t>1996-08-07</t>
        </is>
      </c>
      <c r="X1178" t="inlineStr">
        <is>
          <t>1996-08-07</t>
        </is>
      </c>
      <c r="Y1178" t="n">
        <v>324</v>
      </c>
      <c r="Z1178" t="n">
        <v>269</v>
      </c>
      <c r="AA1178" t="n">
        <v>1052</v>
      </c>
      <c r="AB1178" t="n">
        <v>3</v>
      </c>
      <c r="AC1178" t="n">
        <v>10</v>
      </c>
      <c r="AD1178" t="n">
        <v>11</v>
      </c>
      <c r="AE1178" t="n">
        <v>48</v>
      </c>
      <c r="AF1178" t="n">
        <v>4</v>
      </c>
      <c r="AG1178" t="n">
        <v>22</v>
      </c>
      <c r="AH1178" t="n">
        <v>2</v>
      </c>
      <c r="AI1178" t="n">
        <v>8</v>
      </c>
      <c r="AJ1178" t="n">
        <v>5</v>
      </c>
      <c r="AK1178" t="n">
        <v>23</v>
      </c>
      <c r="AL1178" t="n">
        <v>1</v>
      </c>
      <c r="AM1178" t="n">
        <v>6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No</t>
        </is>
      </c>
      <c r="AS1178">
        <f>HYPERLINK("https://creighton-primo.hosted.exlibrisgroup.com/primo-explore/search?tab=default_tab&amp;search_scope=EVERYTHING&amp;vid=01CRU&amp;lang=en_US&amp;offset=0&amp;query=any,contains,991003396309702656","Catalog Record")</f>
        <v/>
      </c>
      <c r="AT1178">
        <f>HYPERLINK("http://www.worldcat.org/oclc/934703","WorldCat Record")</f>
        <v/>
      </c>
      <c r="AU1178" t="inlineStr">
        <is>
          <t>1323006:eng</t>
        </is>
      </c>
      <c r="AV1178" t="inlineStr">
        <is>
          <t>934703</t>
        </is>
      </c>
      <c r="AW1178" t="inlineStr">
        <is>
          <t>991003396309702656</t>
        </is>
      </c>
      <c r="AX1178" t="inlineStr">
        <is>
          <t>991003396309702656</t>
        </is>
      </c>
      <c r="AY1178" t="inlineStr">
        <is>
          <t>2271717400002656</t>
        </is>
      </c>
      <c r="AZ1178" t="inlineStr">
        <is>
          <t>BOOK</t>
        </is>
      </c>
      <c r="BB1178" t="inlineStr">
        <is>
          <t>9780394318677</t>
        </is>
      </c>
      <c r="BC1178" t="inlineStr">
        <is>
          <t>32285002257045</t>
        </is>
      </c>
      <c r="BD1178" t="inlineStr">
        <is>
          <t>893535455</t>
        </is>
      </c>
    </row>
    <row r="1179">
      <c r="A1179" t="inlineStr">
        <is>
          <t>No</t>
        </is>
      </c>
      <c r="B1179" t="inlineStr">
        <is>
          <t>BF724 .O35</t>
        </is>
      </c>
      <c r="C1179" t="inlineStr">
        <is>
          <t>0                      BF 0724000O  35</t>
        </is>
      </c>
      <c r="D1179" t="inlineStr">
        <is>
          <t>The psychological world of the teenager : a study of normal adolescent boys / with the collaboration of Melvin Sabshin, and the assistance of Judith L. Offer.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K1179" t="inlineStr">
        <is>
          <t>Offer, Daniel.</t>
        </is>
      </c>
      <c r="L1179" t="inlineStr">
        <is>
          <t>New York : Basic Books, [1969]</t>
        </is>
      </c>
      <c r="M1179" t="inlineStr">
        <is>
          <t>1969</t>
        </is>
      </c>
      <c r="O1179" t="inlineStr">
        <is>
          <t>eng</t>
        </is>
      </c>
      <c r="P1179" t="inlineStr">
        <is>
          <t>nyu</t>
        </is>
      </c>
      <c r="R1179" t="inlineStr">
        <is>
          <t xml:space="preserve">BF </t>
        </is>
      </c>
      <c r="S1179" t="n">
        <v>2</v>
      </c>
      <c r="T1179" t="n">
        <v>2</v>
      </c>
      <c r="U1179" t="inlineStr">
        <is>
          <t>1997-09-25</t>
        </is>
      </c>
      <c r="V1179" t="inlineStr">
        <is>
          <t>1997-09-25</t>
        </is>
      </c>
      <c r="W1179" t="inlineStr">
        <is>
          <t>1993-04-12</t>
        </is>
      </c>
      <c r="X1179" t="inlineStr">
        <is>
          <t>1993-04-12</t>
        </is>
      </c>
      <c r="Y1179" t="n">
        <v>681</v>
      </c>
      <c r="Z1179" t="n">
        <v>584</v>
      </c>
      <c r="AA1179" t="n">
        <v>603</v>
      </c>
      <c r="AB1179" t="n">
        <v>6</v>
      </c>
      <c r="AC1179" t="n">
        <v>6</v>
      </c>
      <c r="AD1179" t="n">
        <v>24</v>
      </c>
      <c r="AE1179" t="n">
        <v>24</v>
      </c>
      <c r="AF1179" t="n">
        <v>8</v>
      </c>
      <c r="AG1179" t="n">
        <v>8</v>
      </c>
      <c r="AH1179" t="n">
        <v>5</v>
      </c>
      <c r="AI1179" t="n">
        <v>5</v>
      </c>
      <c r="AJ1179" t="n">
        <v>12</v>
      </c>
      <c r="AK1179" t="n">
        <v>12</v>
      </c>
      <c r="AL1179" t="n">
        <v>4</v>
      </c>
      <c r="AM1179" t="n">
        <v>4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HYPERLINK("http://catalog.hathitrust.org/Record/000431688","HathiTrust Record")</f>
        <v/>
      </c>
      <c r="AS1179">
        <f>HYPERLINK("https://creighton-primo.hosted.exlibrisgroup.com/primo-explore/search?tab=default_tab&amp;search_scope=EVERYTHING&amp;vid=01CRU&amp;lang=en_US&amp;offset=0&amp;query=any,contains,991000000319702656","Catalog Record")</f>
        <v/>
      </c>
      <c r="AT1179">
        <f>HYPERLINK("http://www.worldcat.org/oclc/7739","WorldCat Record")</f>
        <v/>
      </c>
      <c r="AU1179" t="inlineStr">
        <is>
          <t>250072:eng</t>
        </is>
      </c>
      <c r="AV1179" t="inlineStr">
        <is>
          <t>7739</t>
        </is>
      </c>
      <c r="AW1179" t="inlineStr">
        <is>
          <t>991000000319702656</t>
        </is>
      </c>
      <c r="AX1179" t="inlineStr">
        <is>
          <t>991000000319702656</t>
        </is>
      </c>
      <c r="AY1179" t="inlineStr">
        <is>
          <t>2268077950002656</t>
        </is>
      </c>
      <c r="AZ1179" t="inlineStr">
        <is>
          <t>BOOK</t>
        </is>
      </c>
      <c r="BC1179" t="inlineStr">
        <is>
          <t>32285001616092</t>
        </is>
      </c>
      <c r="BD1179" t="inlineStr">
        <is>
          <t>893620081</t>
        </is>
      </c>
    </row>
    <row r="1180">
      <c r="A1180" t="inlineStr">
        <is>
          <t>No</t>
        </is>
      </c>
      <c r="B1180" t="inlineStr">
        <is>
          <t>BF724 .R57 1977</t>
        </is>
      </c>
      <c r="C1180" t="inlineStr">
        <is>
          <t>0                      BF 0724000R  57          1977</t>
        </is>
      </c>
      <c r="D1180" t="inlineStr">
        <is>
          <t>Issues in adolescent psychology / [compiled by] Dorothy Rogers.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K1180" t="inlineStr">
        <is>
          <t>Rogers, Dorothy, 1914-1986 compiler.</t>
        </is>
      </c>
      <c r="L1180" t="inlineStr">
        <is>
          <t>Englewood Cliffs, N.J. : Prentice-Hall, c1977.</t>
        </is>
      </c>
      <c r="M1180" t="inlineStr">
        <is>
          <t>1977</t>
        </is>
      </c>
      <c r="N1180" t="inlineStr">
        <is>
          <t>3d ed.</t>
        </is>
      </c>
      <c r="O1180" t="inlineStr">
        <is>
          <t>eng</t>
        </is>
      </c>
      <c r="P1180" t="inlineStr">
        <is>
          <t>nju</t>
        </is>
      </c>
      <c r="R1180" t="inlineStr">
        <is>
          <t xml:space="preserve">BF </t>
        </is>
      </c>
      <c r="S1180" t="n">
        <v>10</v>
      </c>
      <c r="T1180" t="n">
        <v>10</v>
      </c>
      <c r="U1180" t="inlineStr">
        <is>
          <t>2009-10-14</t>
        </is>
      </c>
      <c r="V1180" t="inlineStr">
        <is>
          <t>2009-10-14</t>
        </is>
      </c>
      <c r="W1180" t="inlineStr">
        <is>
          <t>1994-11-04</t>
        </is>
      </c>
      <c r="X1180" t="inlineStr">
        <is>
          <t>1994-11-04</t>
        </is>
      </c>
      <c r="Y1180" t="n">
        <v>233</v>
      </c>
      <c r="Z1180" t="n">
        <v>192</v>
      </c>
      <c r="AA1180" t="n">
        <v>655</v>
      </c>
      <c r="AB1180" t="n">
        <v>3</v>
      </c>
      <c r="AC1180" t="n">
        <v>5</v>
      </c>
      <c r="AD1180" t="n">
        <v>3</v>
      </c>
      <c r="AE1180" t="n">
        <v>25</v>
      </c>
      <c r="AF1180" t="n">
        <v>1</v>
      </c>
      <c r="AG1180" t="n">
        <v>8</v>
      </c>
      <c r="AH1180" t="n">
        <v>0</v>
      </c>
      <c r="AI1180" t="n">
        <v>6</v>
      </c>
      <c r="AJ1180" t="n">
        <v>2</v>
      </c>
      <c r="AK1180" t="n">
        <v>13</v>
      </c>
      <c r="AL1180" t="n">
        <v>1</v>
      </c>
      <c r="AM1180" t="n">
        <v>3</v>
      </c>
      <c r="AN1180" t="n">
        <v>0</v>
      </c>
      <c r="AO1180" t="n">
        <v>0</v>
      </c>
      <c r="AP1180" t="inlineStr">
        <is>
          <t>No</t>
        </is>
      </c>
      <c r="AQ1180" t="inlineStr">
        <is>
          <t>Yes</t>
        </is>
      </c>
      <c r="AR1180">
        <f>HYPERLINK("http://catalog.hathitrust.org/Record/000130145","HathiTrust Record")</f>
        <v/>
      </c>
      <c r="AS1180">
        <f>HYPERLINK("https://creighton-primo.hosted.exlibrisgroup.com/primo-explore/search?tab=default_tab&amp;search_scope=EVERYTHING&amp;vid=01CRU&amp;lang=en_US&amp;offset=0&amp;query=any,contains,991004198709702656","Catalog Record")</f>
        <v/>
      </c>
      <c r="AT1180">
        <f>HYPERLINK("http://www.worldcat.org/oclc/2646209","WorldCat Record")</f>
        <v/>
      </c>
      <c r="AU1180" t="inlineStr">
        <is>
          <t>1127927:eng</t>
        </is>
      </c>
      <c r="AV1180" t="inlineStr">
        <is>
          <t>2646209</t>
        </is>
      </c>
      <c r="AW1180" t="inlineStr">
        <is>
          <t>991004198709702656</t>
        </is>
      </c>
      <c r="AX1180" t="inlineStr">
        <is>
          <t>991004198709702656</t>
        </is>
      </c>
      <c r="AY1180" t="inlineStr">
        <is>
          <t>2254944880002656</t>
        </is>
      </c>
      <c r="AZ1180" t="inlineStr">
        <is>
          <t>BOOK</t>
        </is>
      </c>
      <c r="BB1180" t="inlineStr">
        <is>
          <t>9780135064283</t>
        </is>
      </c>
      <c r="BC1180" t="inlineStr">
        <is>
          <t>32285001964310</t>
        </is>
      </c>
      <c r="BD1180" t="inlineStr">
        <is>
          <t>893800711</t>
        </is>
      </c>
    </row>
    <row r="1181">
      <c r="A1181" t="inlineStr">
        <is>
          <t>No</t>
        </is>
      </c>
      <c r="B1181" t="inlineStr">
        <is>
          <t>BF724 .R6</t>
        </is>
      </c>
      <c r="C1181" t="inlineStr">
        <is>
          <t>0                      BF 0724000R  6</t>
        </is>
      </c>
      <c r="D1181" t="inlineStr">
        <is>
          <t>Society and the adolescent self-image.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Yes</t>
        </is>
      </c>
      <c r="J1181" t="inlineStr">
        <is>
          <t>0</t>
        </is>
      </c>
      <c r="K1181" t="inlineStr">
        <is>
          <t>Rosenberg, Morris.</t>
        </is>
      </c>
      <c r="L1181" t="inlineStr">
        <is>
          <t>Princeton, N.J., Princeton University Press, 1965.</t>
        </is>
      </c>
      <c r="M1181" t="inlineStr">
        <is>
          <t>1965</t>
        </is>
      </c>
      <c r="O1181" t="inlineStr">
        <is>
          <t>eng</t>
        </is>
      </c>
      <c r="P1181" t="inlineStr">
        <is>
          <t>nju</t>
        </is>
      </c>
      <c r="R1181" t="inlineStr">
        <is>
          <t xml:space="preserve">BF </t>
        </is>
      </c>
      <c r="S1181" t="n">
        <v>4</v>
      </c>
      <c r="T1181" t="n">
        <v>4</v>
      </c>
      <c r="U1181" t="inlineStr">
        <is>
          <t>2003-09-04</t>
        </is>
      </c>
      <c r="V1181" t="inlineStr">
        <is>
          <t>2003-09-04</t>
        </is>
      </c>
      <c r="W1181" t="inlineStr">
        <is>
          <t>1996-08-07</t>
        </is>
      </c>
      <c r="X1181" t="inlineStr">
        <is>
          <t>1996-08-07</t>
        </is>
      </c>
      <c r="Y1181" t="n">
        <v>921</v>
      </c>
      <c r="Z1181" t="n">
        <v>768</v>
      </c>
      <c r="AA1181" t="n">
        <v>1096</v>
      </c>
      <c r="AB1181" t="n">
        <v>7</v>
      </c>
      <c r="AC1181" t="n">
        <v>7</v>
      </c>
      <c r="AD1181" t="n">
        <v>29</v>
      </c>
      <c r="AE1181" t="n">
        <v>39</v>
      </c>
      <c r="AF1181" t="n">
        <v>12</v>
      </c>
      <c r="AG1181" t="n">
        <v>18</v>
      </c>
      <c r="AH1181" t="n">
        <v>7</v>
      </c>
      <c r="AI1181" t="n">
        <v>11</v>
      </c>
      <c r="AJ1181" t="n">
        <v>15</v>
      </c>
      <c r="AK1181" t="n">
        <v>18</v>
      </c>
      <c r="AL1181" t="n">
        <v>3</v>
      </c>
      <c r="AM1181" t="n">
        <v>3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No</t>
        </is>
      </c>
      <c r="AS1181">
        <f>HYPERLINK("https://creighton-primo.hosted.exlibrisgroup.com/primo-explore/search?tab=default_tab&amp;search_scope=EVERYTHING&amp;vid=01CRU&amp;lang=en_US&amp;offset=0&amp;query=any,contains,991001369669702656","Catalog Record")</f>
        <v/>
      </c>
      <c r="AT1181">
        <f>HYPERLINK("http://www.worldcat.org/oclc/223114","WorldCat Record")</f>
        <v/>
      </c>
      <c r="AU1181" t="inlineStr">
        <is>
          <t>1330487:eng</t>
        </is>
      </c>
      <c r="AV1181" t="inlineStr">
        <is>
          <t>223114</t>
        </is>
      </c>
      <c r="AW1181" t="inlineStr">
        <is>
          <t>991001369669702656</t>
        </is>
      </c>
      <c r="AX1181" t="inlineStr">
        <is>
          <t>991001369669702656</t>
        </is>
      </c>
      <c r="AY1181" t="inlineStr">
        <is>
          <t>2262335690002656</t>
        </is>
      </c>
      <c r="AZ1181" t="inlineStr">
        <is>
          <t>BOOK</t>
        </is>
      </c>
      <c r="BC1181" t="inlineStr">
        <is>
          <t>32285002257086</t>
        </is>
      </c>
      <c r="BD1181" t="inlineStr">
        <is>
          <t>893244080</t>
        </is>
      </c>
    </row>
    <row r="1182">
      <c r="A1182" t="inlineStr">
        <is>
          <t>No</t>
        </is>
      </c>
      <c r="B1182" t="inlineStr">
        <is>
          <t>BF724 .S3667</t>
        </is>
      </c>
      <c r="C1182" t="inlineStr">
        <is>
          <t>0                      BF 0724000S  3667</t>
        </is>
      </c>
      <c r="D1182" t="inlineStr">
        <is>
          <t>Personality development and adjustment in adolescence.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Schneiders, Alexander A. (Alexander Aloysius), 1909-1968.</t>
        </is>
      </c>
      <c r="L1182" t="inlineStr">
        <is>
          <t>Milwaukee : Bruce Pub. Co., [1960]</t>
        </is>
      </c>
      <c r="M1182" t="inlineStr">
        <is>
          <t>1960</t>
        </is>
      </c>
      <c r="O1182" t="inlineStr">
        <is>
          <t>eng</t>
        </is>
      </c>
      <c r="P1182" t="inlineStr">
        <is>
          <t>wiu</t>
        </is>
      </c>
      <c r="R1182" t="inlineStr">
        <is>
          <t xml:space="preserve">BF </t>
        </is>
      </c>
      <c r="S1182" t="n">
        <v>2</v>
      </c>
      <c r="T1182" t="n">
        <v>2</v>
      </c>
      <c r="U1182" t="inlineStr">
        <is>
          <t>2001-02-12</t>
        </is>
      </c>
      <c r="V1182" t="inlineStr">
        <is>
          <t>2001-02-12</t>
        </is>
      </c>
      <c r="W1182" t="inlineStr">
        <is>
          <t>1993-03-31</t>
        </is>
      </c>
      <c r="X1182" t="inlineStr">
        <is>
          <t>1993-03-31</t>
        </is>
      </c>
      <c r="Y1182" t="n">
        <v>333</v>
      </c>
      <c r="Z1182" t="n">
        <v>274</v>
      </c>
      <c r="AA1182" t="n">
        <v>281</v>
      </c>
      <c r="AB1182" t="n">
        <v>3</v>
      </c>
      <c r="AC1182" t="n">
        <v>3</v>
      </c>
      <c r="AD1182" t="n">
        <v>21</v>
      </c>
      <c r="AE1182" t="n">
        <v>21</v>
      </c>
      <c r="AF1182" t="n">
        <v>7</v>
      </c>
      <c r="AG1182" t="n">
        <v>7</v>
      </c>
      <c r="AH1182" t="n">
        <v>4</v>
      </c>
      <c r="AI1182" t="n">
        <v>4</v>
      </c>
      <c r="AJ1182" t="n">
        <v>15</v>
      </c>
      <c r="AK1182" t="n">
        <v>15</v>
      </c>
      <c r="AL1182" t="n">
        <v>1</v>
      </c>
      <c r="AM1182" t="n">
        <v>1</v>
      </c>
      <c r="AN1182" t="n">
        <v>0</v>
      </c>
      <c r="AO1182" t="n">
        <v>0</v>
      </c>
      <c r="AP1182" t="inlineStr">
        <is>
          <t>Yes</t>
        </is>
      </c>
      <c r="AQ1182" t="inlineStr">
        <is>
          <t>No</t>
        </is>
      </c>
      <c r="AR1182">
        <f>HYPERLINK("http://catalog.hathitrust.org/Record/009079044","HathiTrust Record")</f>
        <v/>
      </c>
      <c r="AS1182">
        <f>HYPERLINK("https://creighton-primo.hosted.exlibrisgroup.com/primo-explore/search?tab=default_tab&amp;search_scope=EVERYTHING&amp;vid=01CRU&amp;lang=en_US&amp;offset=0&amp;query=any,contains,991003749959702656","Catalog Record")</f>
        <v/>
      </c>
      <c r="AT1182">
        <f>HYPERLINK("http://www.worldcat.org/oclc/1424682","WorldCat Record")</f>
        <v/>
      </c>
      <c r="AU1182" t="inlineStr">
        <is>
          <t>376798714:eng</t>
        </is>
      </c>
      <c r="AV1182" t="inlineStr">
        <is>
          <t>1424682</t>
        </is>
      </c>
      <c r="AW1182" t="inlineStr">
        <is>
          <t>991003749959702656</t>
        </is>
      </c>
      <c r="AX1182" t="inlineStr">
        <is>
          <t>991003749959702656</t>
        </is>
      </c>
      <c r="AY1182" t="inlineStr">
        <is>
          <t>2271952110002656</t>
        </is>
      </c>
      <c r="AZ1182" t="inlineStr">
        <is>
          <t>BOOK</t>
        </is>
      </c>
      <c r="BC1182" t="inlineStr">
        <is>
          <t>32285001595767</t>
        </is>
      </c>
      <c r="BD1182" t="inlineStr">
        <is>
          <t>893499648</t>
        </is>
      </c>
    </row>
    <row r="1183">
      <c r="A1183" t="inlineStr">
        <is>
          <t>No</t>
        </is>
      </c>
      <c r="B1183" t="inlineStr">
        <is>
          <t>BF724 .S58</t>
        </is>
      </c>
      <c r="C1183" t="inlineStr">
        <is>
          <t>0                      BF 0724000S  58</t>
        </is>
      </c>
      <c r="D1183" t="inlineStr">
        <is>
          <t>Puberty and adolescence / Barbara Baker Sommer. --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K1183" t="inlineStr">
        <is>
          <t>Sommer, Barbara Baker, 1938-</t>
        </is>
      </c>
      <c r="L1183" t="inlineStr">
        <is>
          <t>New York : Oxford University Press, 1978.</t>
        </is>
      </c>
      <c r="M1183" t="inlineStr">
        <is>
          <t>1978</t>
        </is>
      </c>
      <c r="O1183" t="inlineStr">
        <is>
          <t>eng</t>
        </is>
      </c>
      <c r="P1183" t="inlineStr">
        <is>
          <t>nyu</t>
        </is>
      </c>
      <c r="R1183" t="inlineStr">
        <is>
          <t xml:space="preserve">BF </t>
        </is>
      </c>
      <c r="S1183" t="n">
        <v>13</v>
      </c>
      <c r="T1183" t="n">
        <v>13</v>
      </c>
      <c r="U1183" t="inlineStr">
        <is>
          <t>2004-10-03</t>
        </is>
      </c>
      <c r="V1183" t="inlineStr">
        <is>
          <t>2004-10-03</t>
        </is>
      </c>
      <c r="W1183" t="inlineStr">
        <is>
          <t>1993-04-12</t>
        </is>
      </c>
      <c r="X1183" t="inlineStr">
        <is>
          <t>1993-04-12</t>
        </is>
      </c>
      <c r="Y1183" t="n">
        <v>483</v>
      </c>
      <c r="Z1183" t="n">
        <v>385</v>
      </c>
      <c r="AA1183" t="n">
        <v>388</v>
      </c>
      <c r="AB1183" t="n">
        <v>3</v>
      </c>
      <c r="AC1183" t="n">
        <v>3</v>
      </c>
      <c r="AD1183" t="n">
        <v>13</v>
      </c>
      <c r="AE1183" t="n">
        <v>13</v>
      </c>
      <c r="AF1183" t="n">
        <v>5</v>
      </c>
      <c r="AG1183" t="n">
        <v>5</v>
      </c>
      <c r="AH1183" t="n">
        <v>2</v>
      </c>
      <c r="AI1183" t="n">
        <v>2</v>
      </c>
      <c r="AJ1183" t="n">
        <v>8</v>
      </c>
      <c r="AK1183" t="n">
        <v>8</v>
      </c>
      <c r="AL1183" t="n">
        <v>1</v>
      </c>
      <c r="AM1183" t="n">
        <v>1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Yes</t>
        </is>
      </c>
      <c r="AR1183">
        <f>HYPERLINK("http://catalog.hathitrust.org/Record/000093419","HathiTrust Record")</f>
        <v/>
      </c>
      <c r="AS1183">
        <f>HYPERLINK("https://creighton-primo.hosted.exlibrisgroup.com/primo-explore/search?tab=default_tab&amp;search_scope=EVERYTHING&amp;vid=01CRU&amp;lang=en_US&amp;offset=0&amp;query=any,contains,991004492019702656","Catalog Record")</f>
        <v/>
      </c>
      <c r="AT1183">
        <f>HYPERLINK("http://www.worldcat.org/oclc/3669329","WorldCat Record")</f>
        <v/>
      </c>
      <c r="AU1183" t="inlineStr">
        <is>
          <t>414979:eng</t>
        </is>
      </c>
      <c r="AV1183" t="inlineStr">
        <is>
          <t>3669329</t>
        </is>
      </c>
      <c r="AW1183" t="inlineStr">
        <is>
          <t>991004492019702656</t>
        </is>
      </c>
      <c r="AX1183" t="inlineStr">
        <is>
          <t>991004492019702656</t>
        </is>
      </c>
      <c r="AY1183" t="inlineStr">
        <is>
          <t>2262106150002656</t>
        </is>
      </c>
      <c r="AZ1183" t="inlineStr">
        <is>
          <t>BOOK</t>
        </is>
      </c>
      <c r="BB1183" t="inlineStr">
        <is>
          <t>9780195023763</t>
        </is>
      </c>
      <c r="BC1183" t="inlineStr">
        <is>
          <t>32285001616118</t>
        </is>
      </c>
      <c r="BD1183" t="inlineStr">
        <is>
          <t>893888782</t>
        </is>
      </c>
    </row>
    <row r="1184">
      <c r="A1184" t="inlineStr">
        <is>
          <t>No</t>
        </is>
      </c>
      <c r="B1184" t="inlineStr">
        <is>
          <t>BF724 .S8</t>
        </is>
      </c>
      <c r="C1184" t="inlineStr">
        <is>
          <t>0                      BF 0724000S  8</t>
        </is>
      </c>
      <c r="D1184" t="inlineStr">
        <is>
          <t>The adolescent views himself; a psychology of adolescence. Drawings by Sally Donaldson.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K1184" t="inlineStr">
        <is>
          <t>Strang, Ruth May, 1895-1971.</t>
        </is>
      </c>
      <c r="L1184" t="inlineStr">
        <is>
          <t>New York, McGraw-Hill, 1957.</t>
        </is>
      </c>
      <c r="M1184" t="inlineStr">
        <is>
          <t>1957</t>
        </is>
      </c>
      <c r="O1184" t="inlineStr">
        <is>
          <t>eng</t>
        </is>
      </c>
      <c r="P1184" t="inlineStr">
        <is>
          <t>nyu</t>
        </is>
      </c>
      <c r="R1184" t="inlineStr">
        <is>
          <t xml:space="preserve">BF </t>
        </is>
      </c>
      <c r="S1184" t="n">
        <v>3</v>
      </c>
      <c r="T1184" t="n">
        <v>3</v>
      </c>
      <c r="U1184" t="inlineStr">
        <is>
          <t>2004-10-03</t>
        </is>
      </c>
      <c r="V1184" t="inlineStr">
        <is>
          <t>2004-10-03</t>
        </is>
      </c>
      <c r="W1184" t="inlineStr">
        <is>
          <t>1996-08-07</t>
        </is>
      </c>
      <c r="X1184" t="inlineStr">
        <is>
          <t>1996-08-07</t>
        </is>
      </c>
      <c r="Y1184" t="n">
        <v>624</v>
      </c>
      <c r="Z1184" t="n">
        <v>527</v>
      </c>
      <c r="AA1184" t="n">
        <v>550</v>
      </c>
      <c r="AB1184" t="n">
        <v>2</v>
      </c>
      <c r="AC1184" t="n">
        <v>2</v>
      </c>
      <c r="AD1184" t="n">
        <v>17</v>
      </c>
      <c r="AE1184" t="n">
        <v>18</v>
      </c>
      <c r="AF1184" t="n">
        <v>5</v>
      </c>
      <c r="AG1184" t="n">
        <v>5</v>
      </c>
      <c r="AH1184" t="n">
        <v>4</v>
      </c>
      <c r="AI1184" t="n">
        <v>4</v>
      </c>
      <c r="AJ1184" t="n">
        <v>10</v>
      </c>
      <c r="AK1184" t="n">
        <v>11</v>
      </c>
      <c r="AL1184" t="n">
        <v>1</v>
      </c>
      <c r="AM1184" t="n">
        <v>1</v>
      </c>
      <c r="AN1184" t="n">
        <v>0</v>
      </c>
      <c r="AO1184" t="n">
        <v>0</v>
      </c>
      <c r="AP1184" t="inlineStr">
        <is>
          <t>Yes</t>
        </is>
      </c>
      <c r="AQ1184" t="inlineStr">
        <is>
          <t>No</t>
        </is>
      </c>
      <c r="AR1184">
        <f>HYPERLINK("http://catalog.hathitrust.org/Record/000472298","HathiTrust Record")</f>
        <v/>
      </c>
      <c r="AS1184">
        <f>HYPERLINK("https://creighton-primo.hosted.exlibrisgroup.com/primo-explore/search?tab=default_tab&amp;search_scope=EVERYTHING&amp;vid=01CRU&amp;lang=en_US&amp;offset=0&amp;query=any,contains,991002387609702656","Catalog Record")</f>
        <v/>
      </c>
      <c r="AT1184">
        <f>HYPERLINK("http://www.worldcat.org/oclc/330895","WorldCat Record")</f>
        <v/>
      </c>
      <c r="AU1184" t="inlineStr">
        <is>
          <t>815146627:eng</t>
        </is>
      </c>
      <c r="AV1184" t="inlineStr">
        <is>
          <t>330895</t>
        </is>
      </c>
      <c r="AW1184" t="inlineStr">
        <is>
          <t>991002387609702656</t>
        </is>
      </c>
      <c r="AX1184" t="inlineStr">
        <is>
          <t>991002387609702656</t>
        </is>
      </c>
      <c r="AY1184" t="inlineStr">
        <is>
          <t>2258929020002656</t>
        </is>
      </c>
      <c r="AZ1184" t="inlineStr">
        <is>
          <t>BOOK</t>
        </is>
      </c>
      <c r="BC1184" t="inlineStr">
        <is>
          <t>32285002257094</t>
        </is>
      </c>
      <c r="BD1184" t="inlineStr">
        <is>
          <t>893329008</t>
        </is>
      </c>
    </row>
    <row r="1185">
      <c r="A1185" t="inlineStr">
        <is>
          <t>No</t>
        </is>
      </c>
      <c r="B1185" t="inlineStr">
        <is>
          <t>BF724.3.C6 M34 1984</t>
        </is>
      </c>
      <c r="C1185" t="inlineStr">
        <is>
          <t>0                      BF 0724300C  6                  M  34          1984</t>
        </is>
      </c>
      <c r="D1185" t="inlineStr">
        <is>
          <t>Skill-streaming the elementary school child : a guide for teaching prosocial skills / Ellen McGinnis &amp; Arnold P. Goldstein ; with Robert P. Sprafkin &amp; N. Jane Gershaw.</t>
        </is>
      </c>
      <c r="F1185" t="inlineStr">
        <is>
          <t>No</t>
        </is>
      </c>
      <c r="G1185" t="inlineStr">
        <is>
          <t>1</t>
        </is>
      </c>
      <c r="H1185" t="inlineStr">
        <is>
          <t>No</t>
        </is>
      </c>
      <c r="I1185" t="inlineStr">
        <is>
          <t>Yes</t>
        </is>
      </c>
      <c r="J1185" t="inlineStr">
        <is>
          <t>0</t>
        </is>
      </c>
      <c r="K1185" t="inlineStr">
        <is>
          <t>McGinnis-Smith, Ellen.</t>
        </is>
      </c>
      <c r="L1185" t="inlineStr">
        <is>
          <t>Champaign, Ill. : Research Press, 1984.</t>
        </is>
      </c>
      <c r="M1185" t="inlineStr">
        <is>
          <t>1984</t>
        </is>
      </c>
      <c r="O1185" t="inlineStr">
        <is>
          <t>eng</t>
        </is>
      </c>
      <c r="P1185" t="inlineStr">
        <is>
          <t>ilu</t>
        </is>
      </c>
      <c r="R1185" t="inlineStr">
        <is>
          <t xml:space="preserve">BF </t>
        </is>
      </c>
      <c r="S1185" t="n">
        <v>4</v>
      </c>
      <c r="T1185" t="n">
        <v>4</v>
      </c>
      <c r="U1185" t="inlineStr">
        <is>
          <t>2007-12-19</t>
        </is>
      </c>
      <c r="V1185" t="inlineStr">
        <is>
          <t>2007-12-19</t>
        </is>
      </c>
      <c r="W1185" t="inlineStr">
        <is>
          <t>1990-06-26</t>
        </is>
      </c>
      <c r="X1185" t="inlineStr">
        <is>
          <t>1990-06-26</t>
        </is>
      </c>
      <c r="Y1185" t="n">
        <v>490</v>
      </c>
      <c r="Z1185" t="n">
        <v>428</v>
      </c>
      <c r="AA1185" t="n">
        <v>610</v>
      </c>
      <c r="AB1185" t="n">
        <v>5</v>
      </c>
      <c r="AC1185" t="n">
        <v>8</v>
      </c>
      <c r="AD1185" t="n">
        <v>15</v>
      </c>
      <c r="AE1185" t="n">
        <v>26</v>
      </c>
      <c r="AF1185" t="n">
        <v>7</v>
      </c>
      <c r="AG1185" t="n">
        <v>12</v>
      </c>
      <c r="AH1185" t="n">
        <v>3</v>
      </c>
      <c r="AI1185" t="n">
        <v>4</v>
      </c>
      <c r="AJ1185" t="n">
        <v>6</v>
      </c>
      <c r="AK1185" t="n">
        <v>11</v>
      </c>
      <c r="AL1185" t="n">
        <v>2</v>
      </c>
      <c r="AM1185" t="n">
        <v>5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Yes</t>
        </is>
      </c>
      <c r="AR1185">
        <f>HYPERLINK("http://catalog.hathitrust.org/Record/002055850","HathiTrust Record")</f>
        <v/>
      </c>
      <c r="AS1185">
        <f>HYPERLINK("https://creighton-primo.hosted.exlibrisgroup.com/primo-explore/search?tab=default_tab&amp;search_scope=EVERYTHING&amp;vid=01CRU&amp;lang=en_US&amp;offset=0&amp;query=any,contains,991000544169702656","Catalog Record")</f>
        <v/>
      </c>
      <c r="AT1185">
        <f>HYPERLINK("http://www.worldcat.org/oclc/11503094","WorldCat Record")</f>
        <v/>
      </c>
      <c r="AU1185" t="inlineStr">
        <is>
          <t>2869510791:eng</t>
        </is>
      </c>
      <c r="AV1185" t="inlineStr">
        <is>
          <t>11503094</t>
        </is>
      </c>
      <c r="AW1185" t="inlineStr">
        <is>
          <t>991000544169702656</t>
        </is>
      </c>
      <c r="AX1185" t="inlineStr">
        <is>
          <t>991000544169702656</t>
        </is>
      </c>
      <c r="AY1185" t="inlineStr">
        <is>
          <t>2267418670002656</t>
        </is>
      </c>
      <c r="AZ1185" t="inlineStr">
        <is>
          <t>BOOK</t>
        </is>
      </c>
      <c r="BB1185" t="inlineStr">
        <is>
          <t>9780878222353</t>
        </is>
      </c>
      <c r="BC1185" t="inlineStr">
        <is>
          <t>32285000214881</t>
        </is>
      </c>
      <c r="BD1185" t="inlineStr">
        <is>
          <t>893714681</t>
        </is>
      </c>
    </row>
    <row r="1186">
      <c r="A1186" t="inlineStr">
        <is>
          <t>No</t>
        </is>
      </c>
      <c r="B1186" t="inlineStr">
        <is>
          <t>BF724.3.D43 A36 1986</t>
        </is>
      </c>
      <c r="C1186" t="inlineStr">
        <is>
          <t>0                      BF 0724300D  43                 A  36          1986</t>
        </is>
      </c>
      <c r="D1186" t="inlineStr">
        <is>
          <t>Adolescence and death / Charles A. Corr, Joan N. McNeil, editors.</t>
        </is>
      </c>
      <c r="F1186" t="inlineStr">
        <is>
          <t>No</t>
        </is>
      </c>
      <c r="G1186" t="inlineStr">
        <is>
          <t>1</t>
        </is>
      </c>
      <c r="H1186" t="inlineStr">
        <is>
          <t>Yes</t>
        </is>
      </c>
      <c r="I1186" t="inlineStr">
        <is>
          <t>No</t>
        </is>
      </c>
      <c r="J1186" t="inlineStr">
        <is>
          <t>0</t>
        </is>
      </c>
      <c r="L1186" t="inlineStr">
        <is>
          <t>New York : Springer Pub. Co., c1986.</t>
        </is>
      </c>
      <c r="M1186" t="inlineStr">
        <is>
          <t>1986</t>
        </is>
      </c>
      <c r="O1186" t="inlineStr">
        <is>
          <t>eng</t>
        </is>
      </c>
      <c r="P1186" t="inlineStr">
        <is>
          <t>nyu</t>
        </is>
      </c>
      <c r="R1186" t="inlineStr">
        <is>
          <t xml:space="preserve">BF </t>
        </is>
      </c>
      <c r="S1186" t="n">
        <v>16</v>
      </c>
      <c r="T1186" t="n">
        <v>21</v>
      </c>
      <c r="U1186" t="inlineStr">
        <is>
          <t>2006-11-15</t>
        </is>
      </c>
      <c r="V1186" t="inlineStr">
        <is>
          <t>2006-11-15</t>
        </is>
      </c>
      <c r="W1186" t="inlineStr">
        <is>
          <t>1992-04-30</t>
        </is>
      </c>
      <c r="X1186" t="inlineStr">
        <is>
          <t>1992-04-30</t>
        </is>
      </c>
      <c r="Y1186" t="n">
        <v>922</v>
      </c>
      <c r="Z1186" t="n">
        <v>829</v>
      </c>
      <c r="AA1186" t="n">
        <v>835</v>
      </c>
      <c r="AB1186" t="n">
        <v>10</v>
      </c>
      <c r="AC1186" t="n">
        <v>10</v>
      </c>
      <c r="AD1186" t="n">
        <v>35</v>
      </c>
      <c r="AE1186" t="n">
        <v>35</v>
      </c>
      <c r="AF1186" t="n">
        <v>13</v>
      </c>
      <c r="AG1186" t="n">
        <v>13</v>
      </c>
      <c r="AH1186" t="n">
        <v>8</v>
      </c>
      <c r="AI1186" t="n">
        <v>8</v>
      </c>
      <c r="AJ1186" t="n">
        <v>17</v>
      </c>
      <c r="AK1186" t="n">
        <v>17</v>
      </c>
      <c r="AL1186" t="n">
        <v>7</v>
      </c>
      <c r="AM1186" t="n">
        <v>7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Yes</t>
        </is>
      </c>
      <c r="AR1186">
        <f>HYPERLINK("http://catalog.hathitrust.org/Record/000435143","HathiTrust Record")</f>
        <v/>
      </c>
      <c r="AS1186">
        <f>HYPERLINK("https://creighton-primo.hosted.exlibrisgroup.com/primo-explore/search?tab=default_tab&amp;search_scope=EVERYTHING&amp;vid=01CRU&amp;lang=en_US&amp;offset=0&amp;query=any,contains,991001762699702656","Catalog Record")</f>
        <v/>
      </c>
      <c r="AT1186">
        <f>HYPERLINK("http://www.worldcat.org/oclc/13064677","WorldCat Record")</f>
        <v/>
      </c>
      <c r="AU1186" t="inlineStr">
        <is>
          <t>355552895:eng</t>
        </is>
      </c>
      <c r="AV1186" t="inlineStr">
        <is>
          <t>13064677</t>
        </is>
      </c>
      <c r="AW1186" t="inlineStr">
        <is>
          <t>991001762699702656</t>
        </is>
      </c>
      <c r="AX1186" t="inlineStr">
        <is>
          <t>991001762699702656</t>
        </is>
      </c>
      <c r="AY1186" t="inlineStr">
        <is>
          <t>2255947580002656</t>
        </is>
      </c>
      <c r="AZ1186" t="inlineStr">
        <is>
          <t>BOOK</t>
        </is>
      </c>
      <c r="BB1186" t="inlineStr">
        <is>
          <t>9780826149305</t>
        </is>
      </c>
      <c r="BC1186" t="inlineStr">
        <is>
          <t>32285001096295</t>
        </is>
      </c>
      <c r="BD1186" t="inlineStr">
        <is>
          <t>893590613</t>
        </is>
      </c>
    </row>
    <row r="1187">
      <c r="A1187" t="inlineStr">
        <is>
          <t>No</t>
        </is>
      </c>
      <c r="B1187" t="inlineStr">
        <is>
          <t>BF724.5 .B44 1987</t>
        </is>
      </c>
      <c r="C1187" t="inlineStr">
        <is>
          <t>0                      BF 0724500B  44          1987</t>
        </is>
      </c>
      <c r="D1187" t="inlineStr">
        <is>
          <t>The journey of adulthood / Helen L. Bee.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Bee, Helen L., 1939-</t>
        </is>
      </c>
      <c r="L1187" t="inlineStr">
        <is>
          <t>New York : Macmillan ; London : Collier Macmillan, c1987.</t>
        </is>
      </c>
      <c r="M1187" t="inlineStr">
        <is>
          <t>1987</t>
        </is>
      </c>
      <c r="O1187" t="inlineStr">
        <is>
          <t>eng</t>
        </is>
      </c>
      <c r="P1187" t="inlineStr">
        <is>
          <t>nyu</t>
        </is>
      </c>
      <c r="R1187" t="inlineStr">
        <is>
          <t xml:space="preserve">BF </t>
        </is>
      </c>
      <c r="S1187" t="n">
        <v>13</v>
      </c>
      <c r="T1187" t="n">
        <v>13</v>
      </c>
      <c r="U1187" t="inlineStr">
        <is>
          <t>2002-11-06</t>
        </is>
      </c>
      <c r="V1187" t="inlineStr">
        <is>
          <t>2002-11-06</t>
        </is>
      </c>
      <c r="W1187" t="inlineStr">
        <is>
          <t>1991-08-01</t>
        </is>
      </c>
      <c r="X1187" t="inlineStr">
        <is>
          <t>1991-08-01</t>
        </is>
      </c>
      <c r="Y1187" t="n">
        <v>244</v>
      </c>
      <c r="Z1187" t="n">
        <v>210</v>
      </c>
      <c r="AA1187" t="n">
        <v>503</v>
      </c>
      <c r="AB1187" t="n">
        <v>2</v>
      </c>
      <c r="AC1187" t="n">
        <v>2</v>
      </c>
      <c r="AD1187" t="n">
        <v>6</v>
      </c>
      <c r="AE1187" t="n">
        <v>15</v>
      </c>
      <c r="AF1187" t="n">
        <v>0</v>
      </c>
      <c r="AG1187" t="n">
        <v>6</v>
      </c>
      <c r="AH1187" t="n">
        <v>0</v>
      </c>
      <c r="AI1187" t="n">
        <v>2</v>
      </c>
      <c r="AJ1187" t="n">
        <v>5</v>
      </c>
      <c r="AK1187" t="n">
        <v>9</v>
      </c>
      <c r="AL1187" t="n">
        <v>1</v>
      </c>
      <c r="AM1187" t="n">
        <v>1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No</t>
        </is>
      </c>
      <c r="AS1187">
        <f>HYPERLINK("https://creighton-primo.hosted.exlibrisgroup.com/primo-explore/search?tab=default_tab&amp;search_scope=EVERYTHING&amp;vid=01CRU&amp;lang=en_US&amp;offset=0&amp;query=any,contains,991000803279702656","Catalog Record")</f>
        <v/>
      </c>
      <c r="AT1187">
        <f>HYPERLINK("http://www.worldcat.org/oclc/13269787","WorldCat Record")</f>
        <v/>
      </c>
      <c r="AU1187" t="inlineStr">
        <is>
          <t>2545119:eng</t>
        </is>
      </c>
      <c r="AV1187" t="inlineStr">
        <is>
          <t>13269787</t>
        </is>
      </c>
      <c r="AW1187" t="inlineStr">
        <is>
          <t>991000803279702656</t>
        </is>
      </c>
      <c r="AX1187" t="inlineStr">
        <is>
          <t>991000803279702656</t>
        </is>
      </c>
      <c r="AY1187" t="inlineStr">
        <is>
          <t>2260689320002656</t>
        </is>
      </c>
      <c r="AZ1187" t="inlineStr">
        <is>
          <t>BOOK</t>
        </is>
      </c>
      <c r="BB1187" t="inlineStr">
        <is>
          <t>9780023080906</t>
        </is>
      </c>
      <c r="BC1187" t="inlineStr">
        <is>
          <t>32285000680701</t>
        </is>
      </c>
      <c r="BD1187" t="inlineStr">
        <is>
          <t>893327600</t>
        </is>
      </c>
    </row>
    <row r="1188">
      <c r="A1188" t="inlineStr">
        <is>
          <t>No</t>
        </is>
      </c>
      <c r="B1188" t="inlineStr">
        <is>
          <t>BF724.5 .B57 1976</t>
        </is>
      </c>
      <c r="C1188" t="inlineStr">
        <is>
          <t>0                      BF 0724500B  57          1976</t>
        </is>
      </c>
      <c r="D1188" t="inlineStr">
        <is>
          <t>Adult psychology / Ledford J. Bischof.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Bischof, Ledford J.</t>
        </is>
      </c>
      <c r="L1188" t="inlineStr">
        <is>
          <t>New York : Harper &amp; Row, c1976.</t>
        </is>
      </c>
      <c r="M1188" t="inlineStr">
        <is>
          <t>1976</t>
        </is>
      </c>
      <c r="N1188" t="inlineStr">
        <is>
          <t>2d ed.</t>
        </is>
      </c>
      <c r="O1188" t="inlineStr">
        <is>
          <t>eng</t>
        </is>
      </c>
      <c r="P1188" t="inlineStr">
        <is>
          <t>nyu</t>
        </is>
      </c>
      <c r="R1188" t="inlineStr">
        <is>
          <t xml:space="preserve">BF </t>
        </is>
      </c>
      <c r="S1188" t="n">
        <v>4</v>
      </c>
      <c r="T1188" t="n">
        <v>4</v>
      </c>
      <c r="U1188" t="inlineStr">
        <is>
          <t>2008-11-23</t>
        </is>
      </c>
      <c r="V1188" t="inlineStr">
        <is>
          <t>2008-11-23</t>
        </is>
      </c>
      <c r="W1188" t="inlineStr">
        <is>
          <t>1996-08-07</t>
        </is>
      </c>
      <c r="X1188" t="inlineStr">
        <is>
          <t>1996-08-07</t>
        </is>
      </c>
      <c r="Y1188" t="n">
        <v>390</v>
      </c>
      <c r="Z1188" t="n">
        <v>273</v>
      </c>
      <c r="AA1188" t="n">
        <v>631</v>
      </c>
      <c r="AB1188" t="n">
        <v>3</v>
      </c>
      <c r="AC1188" t="n">
        <v>6</v>
      </c>
      <c r="AD1188" t="n">
        <v>10</v>
      </c>
      <c r="AE1188" t="n">
        <v>26</v>
      </c>
      <c r="AF1188" t="n">
        <v>3</v>
      </c>
      <c r="AG1188" t="n">
        <v>9</v>
      </c>
      <c r="AH1188" t="n">
        <v>2</v>
      </c>
      <c r="AI1188" t="n">
        <v>6</v>
      </c>
      <c r="AJ1188" t="n">
        <v>4</v>
      </c>
      <c r="AK1188" t="n">
        <v>11</v>
      </c>
      <c r="AL1188" t="n">
        <v>2</v>
      </c>
      <c r="AM1188" t="n">
        <v>5</v>
      </c>
      <c r="AN1188" t="n">
        <v>0</v>
      </c>
      <c r="AO1188" t="n">
        <v>0</v>
      </c>
      <c r="AP1188" t="inlineStr">
        <is>
          <t>No</t>
        </is>
      </c>
      <c r="AQ1188" t="inlineStr">
        <is>
          <t>Yes</t>
        </is>
      </c>
      <c r="AR1188">
        <f>HYPERLINK("http://catalog.hathitrust.org/Record/000045201","HathiTrust Record")</f>
        <v/>
      </c>
      <c r="AS1188">
        <f>HYPERLINK("https://creighton-primo.hosted.exlibrisgroup.com/primo-explore/search?tab=default_tab&amp;search_scope=EVERYTHING&amp;vid=01CRU&amp;lang=en_US&amp;offset=0&amp;query=any,contains,991003803569702656","Catalog Record")</f>
        <v/>
      </c>
      <c r="AT1188">
        <f>HYPERLINK("http://www.worldcat.org/oclc/1529315","WorldCat Record")</f>
        <v/>
      </c>
      <c r="AU1188" t="inlineStr">
        <is>
          <t>1135040:eng</t>
        </is>
      </c>
      <c r="AV1188" t="inlineStr">
        <is>
          <t>1529315</t>
        </is>
      </c>
      <c r="AW1188" t="inlineStr">
        <is>
          <t>991003803569702656</t>
        </is>
      </c>
      <c r="AX1188" t="inlineStr">
        <is>
          <t>991003803569702656</t>
        </is>
      </c>
      <c r="AY1188" t="inlineStr">
        <is>
          <t>2256871220002656</t>
        </is>
      </c>
      <c r="AZ1188" t="inlineStr">
        <is>
          <t>BOOK</t>
        </is>
      </c>
      <c r="BB1188" t="inlineStr">
        <is>
          <t>9780060407193</t>
        </is>
      </c>
      <c r="BC1188" t="inlineStr">
        <is>
          <t>32285002257136</t>
        </is>
      </c>
      <c r="BD1188" t="inlineStr">
        <is>
          <t>893887941</t>
        </is>
      </c>
    </row>
    <row r="1189">
      <c r="A1189" t="inlineStr">
        <is>
          <t>No</t>
        </is>
      </c>
      <c r="B1189" t="inlineStr">
        <is>
          <t>BF724.5 .C59</t>
        </is>
      </c>
      <c r="C1189" t="inlineStr">
        <is>
          <t>0                      BF 0724500C  59</t>
        </is>
      </c>
      <c r="D1189" t="inlineStr">
        <is>
          <t>Adult development, a new dimension in psychodynamic theory and practice / Calvin A. Colarusso and Robert A. Nemiroff.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K1189" t="inlineStr">
        <is>
          <t>Colarusso, Calvin A.</t>
        </is>
      </c>
      <c r="L1189" t="inlineStr">
        <is>
          <t>New York : Plenum Press, c1981.</t>
        </is>
      </c>
      <c r="M1189" t="inlineStr">
        <is>
          <t>1981</t>
        </is>
      </c>
      <c r="O1189" t="inlineStr">
        <is>
          <t>eng</t>
        </is>
      </c>
      <c r="P1189" t="inlineStr">
        <is>
          <t>nyu</t>
        </is>
      </c>
      <c r="Q1189" t="inlineStr">
        <is>
          <t>Critical issues in psychiatry</t>
        </is>
      </c>
      <c r="R1189" t="inlineStr">
        <is>
          <t xml:space="preserve">BF </t>
        </is>
      </c>
      <c r="S1189" t="n">
        <v>10</v>
      </c>
      <c r="T1189" t="n">
        <v>10</v>
      </c>
      <c r="U1189" t="inlineStr">
        <is>
          <t>2003-02-14</t>
        </is>
      </c>
      <c r="V1189" t="inlineStr">
        <is>
          <t>2003-02-14</t>
        </is>
      </c>
      <c r="W1189" t="inlineStr">
        <is>
          <t>1991-12-13</t>
        </is>
      </c>
      <c r="X1189" t="inlineStr">
        <is>
          <t>1991-12-13</t>
        </is>
      </c>
      <c r="Y1189" t="n">
        <v>497</v>
      </c>
      <c r="Z1189" t="n">
        <v>385</v>
      </c>
      <c r="AA1189" t="n">
        <v>406</v>
      </c>
      <c r="AB1189" t="n">
        <v>4</v>
      </c>
      <c r="AC1189" t="n">
        <v>4</v>
      </c>
      <c r="AD1189" t="n">
        <v>13</v>
      </c>
      <c r="AE1189" t="n">
        <v>13</v>
      </c>
      <c r="AF1189" t="n">
        <v>3</v>
      </c>
      <c r="AG1189" t="n">
        <v>3</v>
      </c>
      <c r="AH1189" t="n">
        <v>4</v>
      </c>
      <c r="AI1189" t="n">
        <v>4</v>
      </c>
      <c r="AJ1189" t="n">
        <v>8</v>
      </c>
      <c r="AK1189" t="n">
        <v>8</v>
      </c>
      <c r="AL1189" t="n">
        <v>2</v>
      </c>
      <c r="AM1189" t="n">
        <v>2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Yes</t>
        </is>
      </c>
      <c r="AR1189">
        <f>HYPERLINK("http://catalog.hathitrust.org/Record/000141740","HathiTrust Record")</f>
        <v/>
      </c>
      <c r="AS1189">
        <f>HYPERLINK("https://creighton-primo.hosted.exlibrisgroup.com/primo-explore/search?tab=default_tab&amp;search_scope=EVERYTHING&amp;vid=01CRU&amp;lang=en_US&amp;offset=0&amp;query=any,contains,991005010419702656","Catalog Record")</f>
        <v/>
      </c>
      <c r="AT1189">
        <f>HYPERLINK("http://www.worldcat.org/oclc/6602322","WorldCat Record")</f>
        <v/>
      </c>
      <c r="AU1189" t="inlineStr">
        <is>
          <t>437712:eng</t>
        </is>
      </c>
      <c r="AV1189" t="inlineStr">
        <is>
          <t>6602322</t>
        </is>
      </c>
      <c r="AW1189" t="inlineStr">
        <is>
          <t>991005010419702656</t>
        </is>
      </c>
      <c r="AX1189" t="inlineStr">
        <is>
          <t>991005010419702656</t>
        </is>
      </c>
      <c r="AY1189" t="inlineStr">
        <is>
          <t>2255708260002656</t>
        </is>
      </c>
      <c r="AZ1189" t="inlineStr">
        <is>
          <t>BOOK</t>
        </is>
      </c>
      <c r="BB1189" t="inlineStr">
        <is>
          <t>9780306406195</t>
        </is>
      </c>
      <c r="BC1189" t="inlineStr">
        <is>
          <t>32285000905629</t>
        </is>
      </c>
      <c r="BD1189" t="inlineStr">
        <is>
          <t>893688465</t>
        </is>
      </c>
    </row>
    <row r="1190">
      <c r="A1190" t="inlineStr">
        <is>
          <t>No</t>
        </is>
      </c>
      <c r="B1190" t="inlineStr">
        <is>
          <t>BF724.5 .H84</t>
        </is>
      </c>
      <c r="C1190" t="inlineStr">
        <is>
          <t>0                      BF 0724500H  84</t>
        </is>
      </c>
      <c r="D1190" t="inlineStr">
        <is>
          <t>Adult development and aging : a life-span perspective / David F. Hultsch, Francine Deutsch.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Hultsch, David F.</t>
        </is>
      </c>
      <c r="L1190" t="inlineStr">
        <is>
          <t>New York : McGraw Hill, c1981.</t>
        </is>
      </c>
      <c r="M1190" t="inlineStr">
        <is>
          <t>1981</t>
        </is>
      </c>
      <c r="O1190" t="inlineStr">
        <is>
          <t>eng</t>
        </is>
      </c>
      <c r="P1190" t="inlineStr">
        <is>
          <t>nyu</t>
        </is>
      </c>
      <c r="R1190" t="inlineStr">
        <is>
          <t xml:space="preserve">BF </t>
        </is>
      </c>
      <c r="S1190" t="n">
        <v>11</v>
      </c>
      <c r="T1190" t="n">
        <v>11</v>
      </c>
      <c r="U1190" t="inlineStr">
        <is>
          <t>2000-09-05</t>
        </is>
      </c>
      <c r="V1190" t="inlineStr">
        <is>
          <t>2000-09-05</t>
        </is>
      </c>
      <c r="W1190" t="inlineStr">
        <is>
          <t>1992-04-16</t>
        </is>
      </c>
      <c r="X1190" t="inlineStr">
        <is>
          <t>1992-04-16</t>
        </is>
      </c>
      <c r="Y1190" t="n">
        <v>374</v>
      </c>
      <c r="Z1190" t="n">
        <v>253</v>
      </c>
      <c r="AA1190" t="n">
        <v>259</v>
      </c>
      <c r="AB1190" t="n">
        <v>3</v>
      </c>
      <c r="AC1190" t="n">
        <v>3</v>
      </c>
      <c r="AD1190" t="n">
        <v>9</v>
      </c>
      <c r="AE1190" t="n">
        <v>9</v>
      </c>
      <c r="AF1190" t="n">
        <v>3</v>
      </c>
      <c r="AG1190" t="n">
        <v>3</v>
      </c>
      <c r="AH1190" t="n">
        <v>3</v>
      </c>
      <c r="AI1190" t="n">
        <v>3</v>
      </c>
      <c r="AJ1190" t="n">
        <v>4</v>
      </c>
      <c r="AK1190" t="n">
        <v>4</v>
      </c>
      <c r="AL1190" t="n">
        <v>2</v>
      </c>
      <c r="AM1190" t="n">
        <v>2</v>
      </c>
      <c r="AN1190" t="n">
        <v>0</v>
      </c>
      <c r="AO1190" t="n">
        <v>0</v>
      </c>
      <c r="AP1190" t="inlineStr">
        <is>
          <t>No</t>
        </is>
      </c>
      <c r="AQ1190" t="inlineStr">
        <is>
          <t>Yes</t>
        </is>
      </c>
      <c r="AR1190">
        <f>HYPERLINK("http://catalog.hathitrust.org/Record/000181320","HathiTrust Record")</f>
        <v/>
      </c>
      <c r="AS1190">
        <f>HYPERLINK("https://creighton-primo.hosted.exlibrisgroup.com/primo-explore/search?tab=default_tab&amp;search_scope=EVERYTHING&amp;vid=01CRU&amp;lang=en_US&amp;offset=0&amp;query=any,contains,991004999119702656","Catalog Record")</f>
        <v/>
      </c>
      <c r="AT1190">
        <f>HYPERLINK("http://www.worldcat.org/oclc/6532919","WorldCat Record")</f>
        <v/>
      </c>
      <c r="AU1190" t="inlineStr">
        <is>
          <t>328365084:eng</t>
        </is>
      </c>
      <c r="AV1190" t="inlineStr">
        <is>
          <t>6532919</t>
        </is>
      </c>
      <c r="AW1190" t="inlineStr">
        <is>
          <t>991004999119702656</t>
        </is>
      </c>
      <c r="AX1190" t="inlineStr">
        <is>
          <t>991004999119702656</t>
        </is>
      </c>
      <c r="AY1190" t="inlineStr">
        <is>
          <t>2262144200002656</t>
        </is>
      </c>
      <c r="AZ1190" t="inlineStr">
        <is>
          <t>BOOK</t>
        </is>
      </c>
      <c r="BB1190" t="inlineStr">
        <is>
          <t>9780070311565</t>
        </is>
      </c>
      <c r="BC1190" t="inlineStr">
        <is>
          <t>32285001044410</t>
        </is>
      </c>
      <c r="BD1190" t="inlineStr">
        <is>
          <t>893526752</t>
        </is>
      </c>
    </row>
    <row r="1191">
      <c r="A1191" t="inlineStr">
        <is>
          <t>No</t>
        </is>
      </c>
      <c r="B1191" t="inlineStr">
        <is>
          <t>BF724.5 .L66 1983</t>
        </is>
      </c>
      <c r="C1191" t="inlineStr">
        <is>
          <t>0                      BF 0724500L  66          1983</t>
        </is>
      </c>
      <c r="D1191" t="inlineStr">
        <is>
          <t>Longitudinal studies of adult psychological development / edited by K. Warner Schaie.</t>
        </is>
      </c>
      <c r="F1191" t="inlineStr">
        <is>
          <t>No</t>
        </is>
      </c>
      <c r="G1191" t="inlineStr">
        <is>
          <t>1</t>
        </is>
      </c>
      <c r="H1191" t="inlineStr">
        <is>
          <t>Yes</t>
        </is>
      </c>
      <c r="I1191" t="inlineStr">
        <is>
          <t>No</t>
        </is>
      </c>
      <c r="J1191" t="inlineStr">
        <is>
          <t>0</t>
        </is>
      </c>
      <c r="L1191" t="inlineStr">
        <is>
          <t>New York : Guilford Press, c1983.</t>
        </is>
      </c>
      <c r="M1191" t="inlineStr">
        <is>
          <t>1983</t>
        </is>
      </c>
      <c r="O1191" t="inlineStr">
        <is>
          <t>eng</t>
        </is>
      </c>
      <c r="P1191" t="inlineStr">
        <is>
          <t>nyu</t>
        </is>
      </c>
      <c r="Q1191" t="inlineStr">
        <is>
          <t>Adult development and aging</t>
        </is>
      </c>
      <c r="R1191" t="inlineStr">
        <is>
          <t xml:space="preserve">BF </t>
        </is>
      </c>
      <c r="S1191" t="n">
        <v>2</v>
      </c>
      <c r="T1191" t="n">
        <v>2</v>
      </c>
      <c r="U1191" t="inlineStr">
        <is>
          <t>1995-12-05</t>
        </is>
      </c>
      <c r="V1191" t="inlineStr">
        <is>
          <t>1995-12-05</t>
        </is>
      </c>
      <c r="W1191" t="inlineStr">
        <is>
          <t>1993-04-12</t>
        </is>
      </c>
      <c r="X1191" t="inlineStr">
        <is>
          <t>1993-04-12</t>
        </is>
      </c>
      <c r="Y1191" t="n">
        <v>649</v>
      </c>
      <c r="Z1191" t="n">
        <v>523</v>
      </c>
      <c r="AA1191" t="n">
        <v>524</v>
      </c>
      <c r="AB1191" t="n">
        <v>6</v>
      </c>
      <c r="AC1191" t="n">
        <v>6</v>
      </c>
      <c r="AD1191" t="n">
        <v>26</v>
      </c>
      <c r="AE1191" t="n">
        <v>26</v>
      </c>
      <c r="AF1191" t="n">
        <v>9</v>
      </c>
      <c r="AG1191" t="n">
        <v>9</v>
      </c>
      <c r="AH1191" t="n">
        <v>7</v>
      </c>
      <c r="AI1191" t="n">
        <v>7</v>
      </c>
      <c r="AJ1191" t="n">
        <v>12</v>
      </c>
      <c r="AK1191" t="n">
        <v>12</v>
      </c>
      <c r="AL1191" t="n">
        <v>4</v>
      </c>
      <c r="AM1191" t="n">
        <v>4</v>
      </c>
      <c r="AN1191" t="n">
        <v>0</v>
      </c>
      <c r="AO1191" t="n">
        <v>0</v>
      </c>
      <c r="AP1191" t="inlineStr">
        <is>
          <t>No</t>
        </is>
      </c>
      <c r="AQ1191" t="inlineStr">
        <is>
          <t>No</t>
        </is>
      </c>
      <c r="AS1191">
        <f>HYPERLINK("https://creighton-primo.hosted.exlibrisgroup.com/primo-explore/search?tab=default_tab&amp;search_scope=EVERYTHING&amp;vid=01CRU&amp;lang=en_US&amp;offset=0&amp;query=any,contains,991000091939702656","Catalog Record")</f>
        <v/>
      </c>
      <c r="AT1191">
        <f>HYPERLINK("http://www.worldcat.org/oclc/8907019","WorldCat Record")</f>
        <v/>
      </c>
      <c r="AU1191" t="inlineStr">
        <is>
          <t>43353462:eng</t>
        </is>
      </c>
      <c r="AV1191" t="inlineStr">
        <is>
          <t>8907019</t>
        </is>
      </c>
      <c r="AW1191" t="inlineStr">
        <is>
          <t>991000091939702656</t>
        </is>
      </c>
      <c r="AX1191" t="inlineStr">
        <is>
          <t>991000091939702656</t>
        </is>
      </c>
      <c r="AY1191" t="inlineStr">
        <is>
          <t>2262993730002656</t>
        </is>
      </c>
      <c r="AZ1191" t="inlineStr">
        <is>
          <t>BOOK</t>
        </is>
      </c>
      <c r="BB1191" t="inlineStr">
        <is>
          <t>9780898621310</t>
        </is>
      </c>
      <c r="BC1191" t="inlineStr">
        <is>
          <t>32285001616126</t>
        </is>
      </c>
      <c r="BD1191" t="inlineStr">
        <is>
          <t>893413068</t>
        </is>
      </c>
    </row>
    <row r="1192">
      <c r="A1192" t="inlineStr">
        <is>
          <t>No</t>
        </is>
      </c>
      <c r="B1192" t="inlineStr">
        <is>
          <t>BF724.5 .N47 1990</t>
        </is>
      </c>
      <c r="C1192" t="inlineStr">
        <is>
          <t>0                      BF 0724500N  47          1990</t>
        </is>
      </c>
      <c r="D1192" t="inlineStr">
        <is>
          <t>New dimensions in adult development / Robert A. Nemiroff and Calvin A. Colarusso, editors.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L1192" t="inlineStr">
        <is>
          <t>New York : Basic Books, c1990.</t>
        </is>
      </c>
      <c r="M1192" t="inlineStr">
        <is>
          <t>1990</t>
        </is>
      </c>
      <c r="O1192" t="inlineStr">
        <is>
          <t>eng</t>
        </is>
      </c>
      <c r="P1192" t="inlineStr">
        <is>
          <t>nyu</t>
        </is>
      </c>
      <c r="R1192" t="inlineStr">
        <is>
          <t xml:space="preserve">BF </t>
        </is>
      </c>
      <c r="S1192" t="n">
        <v>5</v>
      </c>
      <c r="T1192" t="n">
        <v>5</v>
      </c>
      <c r="U1192" t="inlineStr">
        <is>
          <t>1998-06-11</t>
        </is>
      </c>
      <c r="V1192" t="inlineStr">
        <is>
          <t>1998-06-11</t>
        </is>
      </c>
      <c r="W1192" t="inlineStr">
        <is>
          <t>1992-10-19</t>
        </is>
      </c>
      <c r="X1192" t="inlineStr">
        <is>
          <t>1992-10-19</t>
        </is>
      </c>
      <c r="Y1192" t="n">
        <v>417</v>
      </c>
      <c r="Z1192" t="n">
        <v>362</v>
      </c>
      <c r="AA1192" t="n">
        <v>369</v>
      </c>
      <c r="AB1192" t="n">
        <v>2</v>
      </c>
      <c r="AC1192" t="n">
        <v>2</v>
      </c>
      <c r="AD1192" t="n">
        <v>20</v>
      </c>
      <c r="AE1192" t="n">
        <v>20</v>
      </c>
      <c r="AF1192" t="n">
        <v>8</v>
      </c>
      <c r="AG1192" t="n">
        <v>8</v>
      </c>
      <c r="AH1192" t="n">
        <v>4</v>
      </c>
      <c r="AI1192" t="n">
        <v>4</v>
      </c>
      <c r="AJ1192" t="n">
        <v>13</v>
      </c>
      <c r="AK1192" t="n">
        <v>13</v>
      </c>
      <c r="AL1192" t="n">
        <v>1</v>
      </c>
      <c r="AM1192" t="n">
        <v>1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HYPERLINK("http://catalog.hathitrust.org/Record/002168759","HathiTrust Record")</f>
        <v/>
      </c>
      <c r="AS1192">
        <f>HYPERLINK("https://creighton-primo.hosted.exlibrisgroup.com/primo-explore/search?tab=default_tab&amp;search_scope=EVERYTHING&amp;vid=01CRU&amp;lang=en_US&amp;offset=0&amp;query=any,contains,991001644879702656","Catalog Record")</f>
        <v/>
      </c>
      <c r="AT1192">
        <f>HYPERLINK("http://www.worldcat.org/oclc/21042104","WorldCat Record")</f>
        <v/>
      </c>
      <c r="AU1192" t="inlineStr">
        <is>
          <t>354553028:eng</t>
        </is>
      </c>
      <c r="AV1192" t="inlineStr">
        <is>
          <t>21042104</t>
        </is>
      </c>
      <c r="AW1192" t="inlineStr">
        <is>
          <t>991001644879702656</t>
        </is>
      </c>
      <c r="AX1192" t="inlineStr">
        <is>
          <t>991001644879702656</t>
        </is>
      </c>
      <c r="AY1192" t="inlineStr">
        <is>
          <t>2269405310002656</t>
        </is>
      </c>
      <c r="AZ1192" t="inlineStr">
        <is>
          <t>BOOK</t>
        </is>
      </c>
      <c r="BB1192" t="inlineStr">
        <is>
          <t>9780465050109</t>
        </is>
      </c>
      <c r="BC1192" t="inlineStr">
        <is>
          <t>32285001318897</t>
        </is>
      </c>
      <c r="BD1192" t="inlineStr">
        <is>
          <t>893529070</t>
        </is>
      </c>
    </row>
    <row r="1193">
      <c r="A1193" t="inlineStr">
        <is>
          <t>No</t>
        </is>
      </c>
      <c r="B1193" t="inlineStr">
        <is>
          <t>BF724.5 .R57 1986</t>
        </is>
      </c>
      <c r="C1193" t="inlineStr">
        <is>
          <t>0                      BF 0724500R  57          1986</t>
        </is>
      </c>
      <c r="D1193" t="inlineStr">
        <is>
          <t>The adult years : an introduction to aging / Dorothy Rogers.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K1193" t="inlineStr">
        <is>
          <t>Rogers, Dorothy, 1914-1986.</t>
        </is>
      </c>
      <c r="L1193" t="inlineStr">
        <is>
          <t>Englewood Cliffs, N.J. : Prentice-Hall, 1986.</t>
        </is>
      </c>
      <c r="M1193" t="inlineStr">
        <is>
          <t>1986</t>
        </is>
      </c>
      <c r="N1193" t="inlineStr">
        <is>
          <t>3rd ed.</t>
        </is>
      </c>
      <c r="O1193" t="inlineStr">
        <is>
          <t>eng</t>
        </is>
      </c>
      <c r="P1193" t="inlineStr">
        <is>
          <t>nju</t>
        </is>
      </c>
      <c r="R1193" t="inlineStr">
        <is>
          <t xml:space="preserve">BF </t>
        </is>
      </c>
      <c r="S1193" t="n">
        <v>5</v>
      </c>
      <c r="T1193" t="n">
        <v>5</v>
      </c>
      <c r="U1193" t="inlineStr">
        <is>
          <t>1997-10-09</t>
        </is>
      </c>
      <c r="V1193" t="inlineStr">
        <is>
          <t>1997-10-09</t>
        </is>
      </c>
      <c r="W1193" t="inlineStr">
        <is>
          <t>1992-04-27</t>
        </is>
      </c>
      <c r="X1193" t="inlineStr">
        <is>
          <t>1992-04-27</t>
        </is>
      </c>
      <c r="Y1193" t="n">
        <v>156</v>
      </c>
      <c r="Z1193" t="n">
        <v>116</v>
      </c>
      <c r="AA1193" t="n">
        <v>456</v>
      </c>
      <c r="AB1193" t="n">
        <v>1</v>
      </c>
      <c r="AC1193" t="n">
        <v>3</v>
      </c>
      <c r="AD1193" t="n">
        <v>4</v>
      </c>
      <c r="AE1193" t="n">
        <v>12</v>
      </c>
      <c r="AF1193" t="n">
        <v>1</v>
      </c>
      <c r="AG1193" t="n">
        <v>6</v>
      </c>
      <c r="AH1193" t="n">
        <v>0</v>
      </c>
      <c r="AI1193" t="n">
        <v>1</v>
      </c>
      <c r="AJ1193" t="n">
        <v>3</v>
      </c>
      <c r="AK1193" t="n">
        <v>5</v>
      </c>
      <c r="AL1193" t="n">
        <v>0</v>
      </c>
      <c r="AM1193" t="n">
        <v>1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Yes</t>
        </is>
      </c>
      <c r="AR1193">
        <f>HYPERLINK("http://catalog.hathitrust.org/Record/000446974","HathiTrust Record")</f>
        <v/>
      </c>
      <c r="AS1193">
        <f>HYPERLINK("https://creighton-primo.hosted.exlibrisgroup.com/primo-explore/search?tab=default_tab&amp;search_scope=EVERYTHING&amp;vid=01CRU&amp;lang=en_US&amp;offset=0&amp;query=any,contains,991000752919702656","Catalog Record")</f>
        <v/>
      </c>
      <c r="AT1193">
        <f>HYPERLINK("http://www.worldcat.org/oclc/12943486","WorldCat Record")</f>
        <v/>
      </c>
      <c r="AU1193" t="inlineStr">
        <is>
          <t>410061:eng</t>
        </is>
      </c>
      <c r="AV1193" t="inlineStr">
        <is>
          <t>12943486</t>
        </is>
      </c>
      <c r="AW1193" t="inlineStr">
        <is>
          <t>991000752919702656</t>
        </is>
      </c>
      <c r="AX1193" t="inlineStr">
        <is>
          <t>991000752919702656</t>
        </is>
      </c>
      <c r="AY1193" t="inlineStr">
        <is>
          <t>2271823010002656</t>
        </is>
      </c>
      <c r="AZ1193" t="inlineStr">
        <is>
          <t>BOOK</t>
        </is>
      </c>
      <c r="BB1193" t="inlineStr">
        <is>
          <t>9780130089397</t>
        </is>
      </c>
      <c r="BC1193" t="inlineStr">
        <is>
          <t>32285001088649</t>
        </is>
      </c>
      <c r="BD1193" t="inlineStr">
        <is>
          <t>893608248</t>
        </is>
      </c>
    </row>
    <row r="1194">
      <c r="A1194" t="inlineStr">
        <is>
          <t>No</t>
        </is>
      </c>
      <c r="B1194" t="inlineStr">
        <is>
          <t>BF724.5 .S74</t>
        </is>
      </c>
      <c r="C1194" t="inlineStr">
        <is>
          <t>0                      BF 0724500S  74</t>
        </is>
      </c>
      <c r="D1194" t="inlineStr">
        <is>
          <t>Adult life : developmental processes / Judith Stevens-Long.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Yes</t>
        </is>
      </c>
      <c r="J1194" t="inlineStr">
        <is>
          <t>0</t>
        </is>
      </c>
      <c r="K1194" t="inlineStr">
        <is>
          <t>Stevens-Long, Judith.</t>
        </is>
      </c>
      <c r="L1194" t="inlineStr">
        <is>
          <t>Palo Alto, Calif. : Mayfield Pub. Co., 1979.</t>
        </is>
      </c>
      <c r="M1194" t="inlineStr">
        <is>
          <t>1979</t>
        </is>
      </c>
      <c r="N1194" t="inlineStr">
        <is>
          <t>1st ed.</t>
        </is>
      </c>
      <c r="O1194" t="inlineStr">
        <is>
          <t>eng</t>
        </is>
      </c>
      <c r="P1194" t="inlineStr">
        <is>
          <t>cau</t>
        </is>
      </c>
      <c r="R1194" t="inlineStr">
        <is>
          <t xml:space="preserve">BF </t>
        </is>
      </c>
      <c r="S1194" t="n">
        <v>11</v>
      </c>
      <c r="T1194" t="n">
        <v>11</v>
      </c>
      <c r="U1194" t="inlineStr">
        <is>
          <t>2005-04-03</t>
        </is>
      </c>
      <c r="V1194" t="inlineStr">
        <is>
          <t>2005-04-03</t>
        </is>
      </c>
      <c r="W1194" t="inlineStr">
        <is>
          <t>1991-11-25</t>
        </is>
      </c>
      <c r="X1194" t="inlineStr">
        <is>
          <t>1991-11-25</t>
        </is>
      </c>
      <c r="Y1194" t="n">
        <v>267</v>
      </c>
      <c r="Z1194" t="n">
        <v>201</v>
      </c>
      <c r="AA1194" t="n">
        <v>325</v>
      </c>
      <c r="AB1194" t="n">
        <v>2</v>
      </c>
      <c r="AC1194" t="n">
        <v>4</v>
      </c>
      <c r="AD1194" t="n">
        <v>6</v>
      </c>
      <c r="AE1194" t="n">
        <v>13</v>
      </c>
      <c r="AF1194" t="n">
        <v>3</v>
      </c>
      <c r="AG1194" t="n">
        <v>5</v>
      </c>
      <c r="AH1194" t="n">
        <v>0</v>
      </c>
      <c r="AI1194" t="n">
        <v>2</v>
      </c>
      <c r="AJ1194" t="n">
        <v>4</v>
      </c>
      <c r="AK1194" t="n">
        <v>7</v>
      </c>
      <c r="AL1194" t="n">
        <v>1</v>
      </c>
      <c r="AM1194" t="n">
        <v>2</v>
      </c>
      <c r="AN1194" t="n">
        <v>0</v>
      </c>
      <c r="AO1194" t="n">
        <v>0</v>
      </c>
      <c r="AP1194" t="inlineStr">
        <is>
          <t>No</t>
        </is>
      </c>
      <c r="AQ1194" t="inlineStr">
        <is>
          <t>Yes</t>
        </is>
      </c>
      <c r="AR1194">
        <f>HYPERLINK("http://catalog.hathitrust.org/Record/000034955","HathiTrust Record")</f>
        <v/>
      </c>
      <c r="AS1194">
        <f>HYPERLINK("https://creighton-primo.hosted.exlibrisgroup.com/primo-explore/search?tab=default_tab&amp;search_scope=EVERYTHING&amp;vid=01CRU&amp;lang=en_US&amp;offset=0&amp;query=any,contains,991004768859702656","Catalog Record")</f>
        <v/>
      </c>
      <c r="AT1194">
        <f>HYPERLINK("http://www.worldcat.org/oclc/5046108","WorldCat Record")</f>
        <v/>
      </c>
      <c r="AU1194" t="inlineStr">
        <is>
          <t>3778211:eng</t>
        </is>
      </c>
      <c r="AV1194" t="inlineStr">
        <is>
          <t>5046108</t>
        </is>
      </c>
      <c r="AW1194" t="inlineStr">
        <is>
          <t>991004768859702656</t>
        </is>
      </c>
      <c r="AX1194" t="inlineStr">
        <is>
          <t>991004768859702656</t>
        </is>
      </c>
      <c r="AY1194" t="inlineStr">
        <is>
          <t>2257868720002656</t>
        </is>
      </c>
      <c r="AZ1194" t="inlineStr">
        <is>
          <t>BOOK</t>
        </is>
      </c>
      <c r="BB1194" t="inlineStr">
        <is>
          <t>9780874844498</t>
        </is>
      </c>
      <c r="BC1194" t="inlineStr">
        <is>
          <t>32285000845288</t>
        </is>
      </c>
      <c r="BD1194" t="inlineStr">
        <is>
          <t>893782630</t>
        </is>
      </c>
    </row>
    <row r="1195">
      <c r="A1195" t="inlineStr">
        <is>
          <t>No</t>
        </is>
      </c>
      <c r="B1195" t="inlineStr">
        <is>
          <t>BF724.5 .S86 1961</t>
        </is>
      </c>
      <c r="C1195" t="inlineStr">
        <is>
          <t>0                      BF 0724500S  86          1961</t>
        </is>
      </c>
      <c r="D1195" t="inlineStr">
        <is>
          <t>From adolescent to adult / by Percival M. Symonds, with Arthur R. Jensen.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Symonds, Percival Mallon, 1893-1960.</t>
        </is>
      </c>
      <c r="L1195" t="inlineStr">
        <is>
          <t>New York : Columbia University Press, 1961.</t>
        </is>
      </c>
      <c r="M1195" t="inlineStr">
        <is>
          <t>1961</t>
        </is>
      </c>
      <c r="O1195" t="inlineStr">
        <is>
          <t>eng</t>
        </is>
      </c>
      <c r="P1195" t="inlineStr">
        <is>
          <t>nyu</t>
        </is>
      </c>
      <c r="R1195" t="inlineStr">
        <is>
          <t xml:space="preserve">BF </t>
        </is>
      </c>
      <c r="S1195" t="n">
        <v>4</v>
      </c>
      <c r="T1195" t="n">
        <v>4</v>
      </c>
      <c r="U1195" t="inlineStr">
        <is>
          <t>1995-09-28</t>
        </is>
      </c>
      <c r="V1195" t="inlineStr">
        <is>
          <t>1995-09-28</t>
        </is>
      </c>
      <c r="W1195" t="inlineStr">
        <is>
          <t>1990-10-01</t>
        </is>
      </c>
      <c r="X1195" t="inlineStr">
        <is>
          <t>1990-10-01</t>
        </is>
      </c>
      <c r="Y1195" t="n">
        <v>662</v>
      </c>
      <c r="Z1195" t="n">
        <v>589</v>
      </c>
      <c r="AA1195" t="n">
        <v>659</v>
      </c>
      <c r="AB1195" t="n">
        <v>5</v>
      </c>
      <c r="AC1195" t="n">
        <v>5</v>
      </c>
      <c r="AD1195" t="n">
        <v>24</v>
      </c>
      <c r="AE1195" t="n">
        <v>25</v>
      </c>
      <c r="AF1195" t="n">
        <v>9</v>
      </c>
      <c r="AG1195" t="n">
        <v>10</v>
      </c>
      <c r="AH1195" t="n">
        <v>3</v>
      </c>
      <c r="AI1195" t="n">
        <v>4</v>
      </c>
      <c r="AJ1195" t="n">
        <v>11</v>
      </c>
      <c r="AK1195" t="n">
        <v>11</v>
      </c>
      <c r="AL1195" t="n">
        <v>4</v>
      </c>
      <c r="AM1195" t="n">
        <v>4</v>
      </c>
      <c r="AN1195" t="n">
        <v>0</v>
      </c>
      <c r="AO1195" t="n">
        <v>0</v>
      </c>
      <c r="AP1195" t="inlineStr">
        <is>
          <t>No</t>
        </is>
      </c>
      <c r="AQ1195" t="inlineStr">
        <is>
          <t>Yes</t>
        </is>
      </c>
      <c r="AR1195">
        <f>HYPERLINK("http://catalog.hathitrust.org/Record/000429560","HathiTrust Record")</f>
        <v/>
      </c>
      <c r="AS1195">
        <f>HYPERLINK("https://creighton-primo.hosted.exlibrisgroup.com/primo-explore/search?tab=default_tab&amp;search_scope=EVERYTHING&amp;vid=01CRU&amp;lang=en_US&amp;offset=0&amp;query=any,contains,991001370299702656","Catalog Record")</f>
        <v/>
      </c>
      <c r="AT1195">
        <f>HYPERLINK("http://www.worldcat.org/oclc/223395","WorldCat Record")</f>
        <v/>
      </c>
      <c r="AU1195" t="inlineStr">
        <is>
          <t>501518:eng</t>
        </is>
      </c>
      <c r="AV1195" t="inlineStr">
        <is>
          <t>223395</t>
        </is>
      </c>
      <c r="AW1195" t="inlineStr">
        <is>
          <t>991001370299702656</t>
        </is>
      </c>
      <c r="AX1195" t="inlineStr">
        <is>
          <t>991001370299702656</t>
        </is>
      </c>
      <c r="AY1195" t="inlineStr">
        <is>
          <t>2264103630002656</t>
        </is>
      </c>
      <c r="AZ1195" t="inlineStr">
        <is>
          <t>BOOK</t>
        </is>
      </c>
      <c r="BC1195" t="inlineStr">
        <is>
          <t>32285000322841</t>
        </is>
      </c>
      <c r="BD1195" t="inlineStr">
        <is>
          <t>893522524</t>
        </is>
      </c>
    </row>
    <row r="1196">
      <c r="A1196" t="inlineStr">
        <is>
          <t>No</t>
        </is>
      </c>
      <c r="B1196" t="inlineStr">
        <is>
          <t>BF724.5 .W46</t>
        </is>
      </c>
      <c r="C1196" t="inlineStr">
        <is>
          <t>0                      BF 0724500W  46</t>
        </is>
      </c>
      <c r="D1196" t="inlineStr">
        <is>
          <t>Adult development : the differentiation of experience / Susan Krauss Whitbourne, Comilda S. Weinstock.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Whitbourne, Susan Krauss.</t>
        </is>
      </c>
      <c r="L1196" t="inlineStr">
        <is>
          <t>New York : Holt, Rinehart, and Winston, 1979.</t>
        </is>
      </c>
      <c r="M1196" t="inlineStr">
        <is>
          <t>1979</t>
        </is>
      </c>
      <c r="O1196" t="inlineStr">
        <is>
          <t>eng</t>
        </is>
      </c>
      <c r="P1196" t="inlineStr">
        <is>
          <t>nyu</t>
        </is>
      </c>
      <c r="R1196" t="inlineStr">
        <is>
          <t xml:space="preserve">BF </t>
        </is>
      </c>
      <c r="S1196" t="n">
        <v>9</v>
      </c>
      <c r="T1196" t="n">
        <v>9</v>
      </c>
      <c r="U1196" t="inlineStr">
        <is>
          <t>2005-04-03</t>
        </is>
      </c>
      <c r="V1196" t="inlineStr">
        <is>
          <t>2005-04-03</t>
        </is>
      </c>
      <c r="W1196" t="inlineStr">
        <is>
          <t>1992-12-10</t>
        </is>
      </c>
      <c r="X1196" t="inlineStr">
        <is>
          <t>1992-12-10</t>
        </is>
      </c>
      <c r="Y1196" t="n">
        <v>307</v>
      </c>
      <c r="Z1196" t="n">
        <v>212</v>
      </c>
      <c r="AA1196" t="n">
        <v>546</v>
      </c>
      <c r="AB1196" t="n">
        <v>2</v>
      </c>
      <c r="AC1196" t="n">
        <v>4</v>
      </c>
      <c r="AD1196" t="n">
        <v>5</v>
      </c>
      <c r="AE1196" t="n">
        <v>22</v>
      </c>
      <c r="AF1196" t="n">
        <v>3</v>
      </c>
      <c r="AG1196" t="n">
        <v>7</v>
      </c>
      <c r="AH1196" t="n">
        <v>1</v>
      </c>
      <c r="AI1196" t="n">
        <v>5</v>
      </c>
      <c r="AJ1196" t="n">
        <v>0</v>
      </c>
      <c r="AK1196" t="n">
        <v>11</v>
      </c>
      <c r="AL1196" t="n">
        <v>1</v>
      </c>
      <c r="AM1196" t="n">
        <v>3</v>
      </c>
      <c r="AN1196" t="n">
        <v>0</v>
      </c>
      <c r="AO1196" t="n">
        <v>0</v>
      </c>
      <c r="AP1196" t="inlineStr">
        <is>
          <t>No</t>
        </is>
      </c>
      <c r="AQ1196" t="inlineStr">
        <is>
          <t>Yes</t>
        </is>
      </c>
      <c r="AR1196">
        <f>HYPERLINK("http://catalog.hathitrust.org/Record/000255841","HathiTrust Record")</f>
        <v/>
      </c>
      <c r="AS1196">
        <f>HYPERLINK("https://creighton-primo.hosted.exlibrisgroup.com/primo-explore/search?tab=default_tab&amp;search_scope=EVERYTHING&amp;vid=01CRU&amp;lang=en_US&amp;offset=0&amp;query=any,contains,991004650769702656","Catalog Record")</f>
        <v/>
      </c>
      <c r="AT1196">
        <f>HYPERLINK("http://www.worldcat.org/oclc/4493821","WorldCat Record")</f>
        <v/>
      </c>
      <c r="AU1196" t="inlineStr">
        <is>
          <t>2999480257:eng</t>
        </is>
      </c>
      <c r="AV1196" t="inlineStr">
        <is>
          <t>4493821</t>
        </is>
      </c>
      <c r="AW1196" t="inlineStr">
        <is>
          <t>991004650769702656</t>
        </is>
      </c>
      <c r="AX1196" t="inlineStr">
        <is>
          <t>991004650769702656</t>
        </is>
      </c>
      <c r="AY1196" t="inlineStr">
        <is>
          <t>2260903620002656</t>
        </is>
      </c>
      <c r="AZ1196" t="inlineStr">
        <is>
          <t>BOOK</t>
        </is>
      </c>
      <c r="BB1196" t="inlineStr">
        <is>
          <t>9780030177415</t>
        </is>
      </c>
      <c r="BC1196" t="inlineStr">
        <is>
          <t>32285001441095</t>
        </is>
      </c>
      <c r="BD1196" t="inlineStr">
        <is>
          <t>893700491</t>
        </is>
      </c>
    </row>
    <row r="1197">
      <c r="A1197" t="inlineStr">
        <is>
          <t>No</t>
        </is>
      </c>
      <c r="B1197" t="inlineStr">
        <is>
          <t>BF724.55.A35 A33 1989</t>
        </is>
      </c>
      <c r="C1197" t="inlineStr">
        <is>
          <t>0                      BF 0724550A  35                 A  33          1989</t>
        </is>
      </c>
      <c r="D1197" t="inlineStr">
        <is>
          <t>Aging and motor behavior / edited by Andrew C. Ostrow.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L1197" t="inlineStr">
        <is>
          <t>Indianapolis, Ind. : Benchmark Press, 1989.</t>
        </is>
      </c>
      <c r="M1197" t="inlineStr">
        <is>
          <t>1989</t>
        </is>
      </c>
      <c r="O1197" t="inlineStr">
        <is>
          <t>eng</t>
        </is>
      </c>
      <c r="P1197" t="inlineStr">
        <is>
          <t xml:space="preserve">xx </t>
        </is>
      </c>
      <c r="R1197" t="inlineStr">
        <is>
          <t xml:space="preserve">BF </t>
        </is>
      </c>
      <c r="S1197" t="n">
        <v>2</v>
      </c>
      <c r="T1197" t="n">
        <v>2</v>
      </c>
      <c r="U1197" t="inlineStr">
        <is>
          <t>1995-11-06</t>
        </is>
      </c>
      <c r="V1197" t="inlineStr">
        <is>
          <t>1995-11-06</t>
        </is>
      </c>
      <c r="W1197" t="inlineStr">
        <is>
          <t>1993-04-12</t>
        </is>
      </c>
      <c r="X1197" t="inlineStr">
        <is>
          <t>1993-04-12</t>
        </is>
      </c>
      <c r="Y1197" t="n">
        <v>291</v>
      </c>
      <c r="Z1197" t="n">
        <v>251</v>
      </c>
      <c r="AA1197" t="n">
        <v>257</v>
      </c>
      <c r="AB1197" t="n">
        <v>4</v>
      </c>
      <c r="AC1197" t="n">
        <v>4</v>
      </c>
      <c r="AD1197" t="n">
        <v>6</v>
      </c>
      <c r="AE1197" t="n">
        <v>6</v>
      </c>
      <c r="AF1197" t="n">
        <v>2</v>
      </c>
      <c r="AG1197" t="n">
        <v>2</v>
      </c>
      <c r="AH1197" t="n">
        <v>1</v>
      </c>
      <c r="AI1197" t="n">
        <v>1</v>
      </c>
      <c r="AJ1197" t="n">
        <v>1</v>
      </c>
      <c r="AK1197" t="n">
        <v>1</v>
      </c>
      <c r="AL1197" t="n">
        <v>3</v>
      </c>
      <c r="AM1197" t="n">
        <v>3</v>
      </c>
      <c r="AN1197" t="n">
        <v>0</v>
      </c>
      <c r="AO1197" t="n">
        <v>0</v>
      </c>
      <c r="AP1197" t="inlineStr">
        <is>
          <t>No</t>
        </is>
      </c>
      <c r="AQ1197" t="inlineStr">
        <is>
          <t>Yes</t>
        </is>
      </c>
      <c r="AR1197">
        <f>HYPERLINK("http://catalog.hathitrust.org/Record/001536097","HathiTrust Record")</f>
        <v/>
      </c>
      <c r="AS1197">
        <f>HYPERLINK("https://creighton-primo.hosted.exlibrisgroup.com/primo-explore/search?tab=default_tab&amp;search_scope=EVERYTHING&amp;vid=01CRU&amp;lang=en_US&amp;offset=0&amp;query=any,contains,991001429919702656","Catalog Record")</f>
        <v/>
      </c>
      <c r="AT1197">
        <f>HYPERLINK("http://www.worldcat.org/oclc/19083095","WorldCat Record")</f>
        <v/>
      </c>
      <c r="AU1197" t="inlineStr">
        <is>
          <t>19065578:eng</t>
        </is>
      </c>
      <c r="AV1197" t="inlineStr">
        <is>
          <t>19083095</t>
        </is>
      </c>
      <c r="AW1197" t="inlineStr">
        <is>
          <t>991001429919702656</t>
        </is>
      </c>
      <c r="AX1197" t="inlineStr">
        <is>
          <t>991001429919702656</t>
        </is>
      </c>
      <c r="AY1197" t="inlineStr">
        <is>
          <t>2266558370002656</t>
        </is>
      </c>
      <c r="AZ1197" t="inlineStr">
        <is>
          <t>BOOK</t>
        </is>
      </c>
      <c r="BB1197" t="inlineStr">
        <is>
          <t>9780936157108</t>
        </is>
      </c>
      <c r="BC1197" t="inlineStr">
        <is>
          <t>32285001616142</t>
        </is>
      </c>
      <c r="BD1197" t="inlineStr">
        <is>
          <t>893328133</t>
        </is>
      </c>
    </row>
    <row r="1198">
      <c r="A1198" t="inlineStr">
        <is>
          <t>No</t>
        </is>
      </c>
      <c r="B1198" t="inlineStr">
        <is>
          <t>BF724.55.A35 A36</t>
        </is>
      </c>
      <c r="C1198" t="inlineStr">
        <is>
          <t>0                      BF 0724550A  35                 A  36</t>
        </is>
      </c>
      <c r="D1198" t="inlineStr">
        <is>
          <t>Aging in the 1980s : psychological issues / [edited by] Leonard W. Poon.</t>
        </is>
      </c>
      <c r="F1198" t="inlineStr">
        <is>
          <t>No</t>
        </is>
      </c>
      <c r="G1198" t="inlineStr">
        <is>
          <t>1</t>
        </is>
      </c>
      <c r="H1198" t="inlineStr">
        <is>
          <t>Yes</t>
        </is>
      </c>
      <c r="I1198" t="inlineStr">
        <is>
          <t>No</t>
        </is>
      </c>
      <c r="J1198" t="inlineStr">
        <is>
          <t>0</t>
        </is>
      </c>
      <c r="L1198" t="inlineStr">
        <is>
          <t>Washington, D.C. : American Psychological Association, [1980]</t>
        </is>
      </c>
      <c r="M1198" t="inlineStr">
        <is>
          <t>1980</t>
        </is>
      </c>
      <c r="O1198" t="inlineStr">
        <is>
          <t>eng</t>
        </is>
      </c>
      <c r="P1198" t="inlineStr">
        <is>
          <t>dcu</t>
        </is>
      </c>
      <c r="R1198" t="inlineStr">
        <is>
          <t xml:space="preserve">BF </t>
        </is>
      </c>
      <c r="S1198" t="n">
        <v>7</v>
      </c>
      <c r="T1198" t="n">
        <v>7</v>
      </c>
      <c r="U1198" t="inlineStr">
        <is>
          <t>1995-11-06</t>
        </is>
      </c>
      <c r="V1198" t="inlineStr">
        <is>
          <t>1995-11-06</t>
        </is>
      </c>
      <c r="W1198" t="inlineStr">
        <is>
          <t>1993-04-12</t>
        </is>
      </c>
      <c r="X1198" t="inlineStr">
        <is>
          <t>1993-04-12</t>
        </is>
      </c>
      <c r="Y1198" t="n">
        <v>668</v>
      </c>
      <c r="Z1198" t="n">
        <v>562</v>
      </c>
      <c r="AA1198" t="n">
        <v>638</v>
      </c>
      <c r="AB1198" t="n">
        <v>4</v>
      </c>
      <c r="AC1198" t="n">
        <v>5</v>
      </c>
      <c r="AD1198" t="n">
        <v>26</v>
      </c>
      <c r="AE1198" t="n">
        <v>30</v>
      </c>
      <c r="AF1198" t="n">
        <v>10</v>
      </c>
      <c r="AG1198" t="n">
        <v>12</v>
      </c>
      <c r="AH1198" t="n">
        <v>6</v>
      </c>
      <c r="AI1198" t="n">
        <v>6</v>
      </c>
      <c r="AJ1198" t="n">
        <v>15</v>
      </c>
      <c r="AK1198" t="n">
        <v>16</v>
      </c>
      <c r="AL1198" t="n">
        <v>2</v>
      </c>
      <c r="AM1198" t="n">
        <v>3</v>
      </c>
      <c r="AN1198" t="n">
        <v>0</v>
      </c>
      <c r="AO1198" t="n">
        <v>0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HYPERLINK("http://catalog.hathitrust.org/Record/000710573","HathiTrust Record")</f>
        <v/>
      </c>
      <c r="AS1198">
        <f>HYPERLINK("https://creighton-primo.hosted.exlibrisgroup.com/primo-explore/search?tab=default_tab&amp;search_scope=EVERYTHING&amp;vid=01CRU&amp;lang=en_US&amp;offset=0&amp;query=any,contains,991004991129702656","Catalog Record")</f>
        <v/>
      </c>
      <c r="AT1198">
        <f>HYPERLINK("http://www.worldcat.org/oclc/6487347","WorldCat Record")</f>
        <v/>
      </c>
      <c r="AU1198" t="inlineStr">
        <is>
          <t>865284825:eng</t>
        </is>
      </c>
      <c r="AV1198" t="inlineStr">
        <is>
          <t>6487347</t>
        </is>
      </c>
      <c r="AW1198" t="inlineStr">
        <is>
          <t>991004991129702656</t>
        </is>
      </c>
      <c r="AX1198" t="inlineStr">
        <is>
          <t>991004991129702656</t>
        </is>
      </c>
      <c r="AY1198" t="inlineStr">
        <is>
          <t>2271821880002656</t>
        </is>
      </c>
      <c r="AZ1198" t="inlineStr">
        <is>
          <t>BOOK</t>
        </is>
      </c>
      <c r="BB1198" t="inlineStr">
        <is>
          <t>9780912704159</t>
        </is>
      </c>
      <c r="BC1198" t="inlineStr">
        <is>
          <t>32285001616159</t>
        </is>
      </c>
      <c r="BD1198" t="inlineStr">
        <is>
          <t>893688446</t>
        </is>
      </c>
    </row>
    <row r="1199">
      <c r="A1199" t="inlineStr">
        <is>
          <t>No</t>
        </is>
      </c>
      <c r="B1199" t="inlineStr">
        <is>
          <t>BF724.55.A35 A47</t>
        </is>
      </c>
      <c r="C1199" t="inlineStr">
        <is>
          <t>0                      BF 0724550A  35                 A  47</t>
        </is>
      </c>
      <c r="D1199" t="inlineStr">
        <is>
          <t>Aging : the process and the people / edited by Gene Usdin and Charles K. Hofling.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K1199" t="inlineStr">
        <is>
          <t>American College of Psychiatrists.</t>
        </is>
      </c>
      <c r="L1199" t="inlineStr">
        <is>
          <t>New York : Brunner/Mazel, c1978.</t>
        </is>
      </c>
      <c r="M1199" t="inlineStr">
        <is>
          <t>1978</t>
        </is>
      </c>
      <c r="O1199" t="inlineStr">
        <is>
          <t>eng</t>
        </is>
      </c>
      <c r="P1199" t="inlineStr">
        <is>
          <t>nyu</t>
        </is>
      </c>
      <c r="R1199" t="inlineStr">
        <is>
          <t xml:space="preserve">BF </t>
        </is>
      </c>
      <c r="S1199" t="n">
        <v>2</v>
      </c>
      <c r="T1199" t="n">
        <v>2</v>
      </c>
      <c r="U1199" t="inlineStr">
        <is>
          <t>1994-11-28</t>
        </is>
      </c>
      <c r="V1199" t="inlineStr">
        <is>
          <t>1994-11-28</t>
        </is>
      </c>
      <c r="W1199" t="inlineStr">
        <is>
          <t>1993-04-12</t>
        </is>
      </c>
      <c r="X1199" t="inlineStr">
        <is>
          <t>1993-04-12</t>
        </is>
      </c>
      <c r="Y1199" t="n">
        <v>713</v>
      </c>
      <c r="Z1199" t="n">
        <v>613</v>
      </c>
      <c r="AA1199" t="n">
        <v>615</v>
      </c>
      <c r="AB1199" t="n">
        <v>6</v>
      </c>
      <c r="AC1199" t="n">
        <v>6</v>
      </c>
      <c r="AD1199" t="n">
        <v>26</v>
      </c>
      <c r="AE1199" t="n">
        <v>26</v>
      </c>
      <c r="AF1199" t="n">
        <v>8</v>
      </c>
      <c r="AG1199" t="n">
        <v>8</v>
      </c>
      <c r="AH1199" t="n">
        <v>8</v>
      </c>
      <c r="AI1199" t="n">
        <v>8</v>
      </c>
      <c r="AJ1199" t="n">
        <v>12</v>
      </c>
      <c r="AK1199" t="n">
        <v>12</v>
      </c>
      <c r="AL1199" t="n">
        <v>4</v>
      </c>
      <c r="AM1199" t="n">
        <v>4</v>
      </c>
      <c r="AN1199" t="n">
        <v>0</v>
      </c>
      <c r="AO1199" t="n">
        <v>0</v>
      </c>
      <c r="AP1199" t="inlineStr">
        <is>
          <t>No</t>
        </is>
      </c>
      <c r="AQ1199" t="inlineStr">
        <is>
          <t>Yes</t>
        </is>
      </c>
      <c r="AR1199">
        <f>HYPERLINK("http://catalog.hathitrust.org/Record/000176661","HathiTrust Record")</f>
        <v/>
      </c>
      <c r="AS1199">
        <f>HYPERLINK("https://creighton-primo.hosted.exlibrisgroup.com/primo-explore/search?tab=default_tab&amp;search_scope=EVERYTHING&amp;vid=01CRU&amp;lang=en_US&amp;offset=0&amp;query=any,contains,991004565379702656","Catalog Record")</f>
        <v/>
      </c>
      <c r="AT1199">
        <f>HYPERLINK("http://www.worldcat.org/oclc/4004365","WorldCat Record")</f>
        <v/>
      </c>
      <c r="AU1199" t="inlineStr">
        <is>
          <t>533838:eng</t>
        </is>
      </c>
      <c r="AV1199" t="inlineStr">
        <is>
          <t>4004365</t>
        </is>
      </c>
      <c r="AW1199" t="inlineStr">
        <is>
          <t>991004565379702656</t>
        </is>
      </c>
      <c r="AX1199" t="inlineStr">
        <is>
          <t>991004565379702656</t>
        </is>
      </c>
      <c r="AY1199" t="inlineStr">
        <is>
          <t>2264925120002656</t>
        </is>
      </c>
      <c r="AZ1199" t="inlineStr">
        <is>
          <t>BOOK</t>
        </is>
      </c>
      <c r="BB1199" t="inlineStr">
        <is>
          <t>9780876301784</t>
        </is>
      </c>
      <c r="BC1199" t="inlineStr">
        <is>
          <t>32285001616167</t>
        </is>
      </c>
      <c r="BD1199" t="inlineStr">
        <is>
          <t>893331774</t>
        </is>
      </c>
    </row>
    <row r="1200">
      <c r="A1200" t="inlineStr">
        <is>
          <t>No</t>
        </is>
      </c>
      <c r="B1200" t="inlineStr">
        <is>
          <t>BF724.55.A35 B67 1984</t>
        </is>
      </c>
      <c r="C1200" t="inlineStr">
        <is>
          <t>0                      BF 0724550A  35                 B  67          1984</t>
        </is>
      </c>
      <c r="D1200" t="inlineStr">
        <is>
          <t>Aging and behavior : a comprehensive integration of research findings / Jack Botwinick.</t>
        </is>
      </c>
      <c r="F1200" t="inlineStr">
        <is>
          <t>No</t>
        </is>
      </c>
      <c r="G1200" t="inlineStr">
        <is>
          <t>1</t>
        </is>
      </c>
      <c r="H1200" t="inlineStr">
        <is>
          <t>Yes</t>
        </is>
      </c>
      <c r="I1200" t="inlineStr">
        <is>
          <t>No</t>
        </is>
      </c>
      <c r="J1200" t="inlineStr">
        <is>
          <t>0</t>
        </is>
      </c>
      <c r="K1200" t="inlineStr">
        <is>
          <t>Botwinick, Jack.</t>
        </is>
      </c>
      <c r="L1200" t="inlineStr">
        <is>
          <t>New York : Springer, c1984.</t>
        </is>
      </c>
      <c r="M1200" t="inlineStr">
        <is>
          <t>1984</t>
        </is>
      </c>
      <c r="N1200" t="inlineStr">
        <is>
          <t>3rd ed., updated and expanded.</t>
        </is>
      </c>
      <c r="O1200" t="inlineStr">
        <is>
          <t>eng</t>
        </is>
      </c>
      <c r="P1200" t="inlineStr">
        <is>
          <t>nyu</t>
        </is>
      </c>
      <c r="R1200" t="inlineStr">
        <is>
          <t xml:space="preserve">BF </t>
        </is>
      </c>
      <c r="S1200" t="n">
        <v>2</v>
      </c>
      <c r="T1200" t="n">
        <v>2</v>
      </c>
      <c r="U1200" t="inlineStr">
        <is>
          <t>1995-03-14</t>
        </is>
      </c>
      <c r="V1200" t="inlineStr">
        <is>
          <t>1995-03-14</t>
        </is>
      </c>
      <c r="W1200" t="inlineStr">
        <is>
          <t>1993-04-12</t>
        </is>
      </c>
      <c r="X1200" t="inlineStr">
        <is>
          <t>1993-04-12</t>
        </is>
      </c>
      <c r="Y1200" t="n">
        <v>500</v>
      </c>
      <c r="Z1200" t="n">
        <v>432</v>
      </c>
      <c r="AA1200" t="n">
        <v>1026</v>
      </c>
      <c r="AB1200" t="n">
        <v>4</v>
      </c>
      <c r="AC1200" t="n">
        <v>7</v>
      </c>
      <c r="AD1200" t="n">
        <v>16</v>
      </c>
      <c r="AE1200" t="n">
        <v>35</v>
      </c>
      <c r="AF1200" t="n">
        <v>6</v>
      </c>
      <c r="AG1200" t="n">
        <v>17</v>
      </c>
      <c r="AH1200" t="n">
        <v>3</v>
      </c>
      <c r="AI1200" t="n">
        <v>7</v>
      </c>
      <c r="AJ1200" t="n">
        <v>9</v>
      </c>
      <c r="AK1200" t="n">
        <v>19</v>
      </c>
      <c r="AL1200" t="n">
        <v>2</v>
      </c>
      <c r="AM1200" t="n">
        <v>4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Yes</t>
        </is>
      </c>
      <c r="AR1200">
        <f>HYPERLINK("http://catalog.hathitrust.org/Record/000121394","HathiTrust Record")</f>
        <v/>
      </c>
      <c r="AS1200">
        <f>HYPERLINK("https://creighton-primo.hosted.exlibrisgroup.com/primo-explore/search?tab=default_tab&amp;search_scope=EVERYTHING&amp;vid=01CRU&amp;lang=en_US&amp;offset=0&amp;query=any,contains,991000379459702656","Catalog Record")</f>
        <v/>
      </c>
      <c r="AT1200">
        <f>HYPERLINK("http://www.worldcat.org/oclc/10483910","WorldCat Record")</f>
        <v/>
      </c>
      <c r="AU1200" t="inlineStr">
        <is>
          <t>815155527:eng</t>
        </is>
      </c>
      <c r="AV1200" t="inlineStr">
        <is>
          <t>10483910</t>
        </is>
      </c>
      <c r="AW1200" t="inlineStr">
        <is>
          <t>991000379459702656</t>
        </is>
      </c>
      <c r="AX1200" t="inlineStr">
        <is>
          <t>991000379459702656</t>
        </is>
      </c>
      <c r="AY1200" t="inlineStr">
        <is>
          <t>2259927850002656</t>
        </is>
      </c>
      <c r="AZ1200" t="inlineStr">
        <is>
          <t>BOOK</t>
        </is>
      </c>
      <c r="BB1200" t="inlineStr">
        <is>
          <t>9780826114433</t>
        </is>
      </c>
      <c r="BC1200" t="inlineStr">
        <is>
          <t>32285001616183</t>
        </is>
      </c>
      <c r="BD1200" t="inlineStr">
        <is>
          <t>893521604</t>
        </is>
      </c>
    </row>
    <row r="1201">
      <c r="A1201" t="inlineStr">
        <is>
          <t>No</t>
        </is>
      </c>
      <c r="B1201" t="inlineStr">
        <is>
          <t>BF724.55.A35 K38</t>
        </is>
      </c>
      <c r="C1201" t="inlineStr">
        <is>
          <t>0                      BF 0724550A  35                 K  38</t>
        </is>
      </c>
      <c r="D1201" t="inlineStr">
        <is>
          <t>Experimental psychology and human aging / Donald H. Kausler.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K1201" t="inlineStr">
        <is>
          <t>Kausler, Donald H.</t>
        </is>
      </c>
      <c r="L1201" t="inlineStr">
        <is>
          <t>New York : Wiley, c1982.</t>
        </is>
      </c>
      <c r="M1201" t="inlineStr">
        <is>
          <t>1982</t>
        </is>
      </c>
      <c r="O1201" t="inlineStr">
        <is>
          <t>eng</t>
        </is>
      </c>
      <c r="P1201" t="inlineStr">
        <is>
          <t>nyu</t>
        </is>
      </c>
      <c r="R1201" t="inlineStr">
        <is>
          <t xml:space="preserve">BF </t>
        </is>
      </c>
      <c r="S1201" t="n">
        <v>2</v>
      </c>
      <c r="T1201" t="n">
        <v>2</v>
      </c>
      <c r="U1201" t="inlineStr">
        <is>
          <t>1995-11-06</t>
        </is>
      </c>
      <c r="V1201" t="inlineStr">
        <is>
          <t>1995-11-06</t>
        </is>
      </c>
      <c r="W1201" t="inlineStr">
        <is>
          <t>1991-08-01</t>
        </is>
      </c>
      <c r="X1201" t="inlineStr">
        <is>
          <t>1991-08-01</t>
        </is>
      </c>
      <c r="Y1201" t="n">
        <v>314</v>
      </c>
      <c r="Z1201" t="n">
        <v>210</v>
      </c>
      <c r="AA1201" t="n">
        <v>216</v>
      </c>
      <c r="AB1201" t="n">
        <v>2</v>
      </c>
      <c r="AC1201" t="n">
        <v>2</v>
      </c>
      <c r="AD1201" t="n">
        <v>6</v>
      </c>
      <c r="AE1201" t="n">
        <v>6</v>
      </c>
      <c r="AF1201" t="n">
        <v>1</v>
      </c>
      <c r="AG1201" t="n">
        <v>1</v>
      </c>
      <c r="AH1201" t="n">
        <v>2</v>
      </c>
      <c r="AI1201" t="n">
        <v>2</v>
      </c>
      <c r="AJ1201" t="n">
        <v>5</v>
      </c>
      <c r="AK1201" t="n">
        <v>5</v>
      </c>
      <c r="AL1201" t="n">
        <v>1</v>
      </c>
      <c r="AM1201" t="n">
        <v>1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No</t>
        </is>
      </c>
      <c r="AS1201">
        <f>HYPERLINK("https://creighton-primo.hosted.exlibrisgroup.com/primo-explore/search?tab=default_tab&amp;search_scope=EVERYTHING&amp;vid=01CRU&amp;lang=en_US&amp;offset=0&amp;query=any,contains,991005192979702656","Catalog Record")</f>
        <v/>
      </c>
      <c r="AT1201">
        <f>HYPERLINK("http://www.worldcat.org/oclc/8031756","WorldCat Record")</f>
        <v/>
      </c>
      <c r="AU1201" t="inlineStr">
        <is>
          <t>3856848697:eng</t>
        </is>
      </c>
      <c r="AV1201" t="inlineStr">
        <is>
          <t>8031756</t>
        </is>
      </c>
      <c r="AW1201" t="inlineStr">
        <is>
          <t>991005192979702656</t>
        </is>
      </c>
      <c r="AX1201" t="inlineStr">
        <is>
          <t>991005192979702656</t>
        </is>
      </c>
      <c r="AY1201" t="inlineStr">
        <is>
          <t>2259502520002656</t>
        </is>
      </c>
      <c r="AZ1201" t="inlineStr">
        <is>
          <t>BOOK</t>
        </is>
      </c>
      <c r="BB1201" t="inlineStr">
        <is>
          <t>9780471081630</t>
        </is>
      </c>
      <c r="BC1201" t="inlineStr">
        <is>
          <t>32285000680669</t>
        </is>
      </c>
      <c r="BD1201" t="inlineStr">
        <is>
          <t>893613278</t>
        </is>
      </c>
    </row>
    <row r="1202">
      <c r="A1202" t="inlineStr">
        <is>
          <t>No</t>
        </is>
      </c>
      <c r="B1202" t="inlineStr">
        <is>
          <t>BF724.55.A35 L68 1990</t>
        </is>
      </c>
      <c r="C1202" t="inlineStr">
        <is>
          <t>0                      BF 0724550A  35                 L  68          1990</t>
        </is>
      </c>
      <c r="D1202" t="inlineStr">
        <is>
          <t>Change and continuity in adult life / Marjorie Fiske, David A. Chiriboga.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K1202" t="inlineStr">
        <is>
          <t>Lowenthal, Marjorie Fiske.</t>
        </is>
      </c>
      <c r="L1202" t="inlineStr">
        <is>
          <t>San Francisco : Jossey-Bass Publishers, 1990.</t>
        </is>
      </c>
      <c r="M1202" t="inlineStr">
        <is>
          <t>1990</t>
        </is>
      </c>
      <c r="N1202" t="inlineStr">
        <is>
          <t>1st ed.</t>
        </is>
      </c>
      <c r="O1202" t="inlineStr">
        <is>
          <t>eng</t>
        </is>
      </c>
      <c r="P1202" t="inlineStr">
        <is>
          <t>cau</t>
        </is>
      </c>
      <c r="Q1202" t="inlineStr">
        <is>
          <t>The Jossey-Bass social and behavioral science series</t>
        </is>
      </c>
      <c r="R1202" t="inlineStr">
        <is>
          <t xml:space="preserve">BF </t>
        </is>
      </c>
      <c r="S1202" t="n">
        <v>1</v>
      </c>
      <c r="T1202" t="n">
        <v>1</v>
      </c>
      <c r="U1202" t="inlineStr">
        <is>
          <t>2010-02-08</t>
        </is>
      </c>
      <c r="V1202" t="inlineStr">
        <is>
          <t>2010-02-08</t>
        </is>
      </c>
      <c r="W1202" t="inlineStr">
        <is>
          <t>1991-06-11</t>
        </is>
      </c>
      <c r="X1202" t="inlineStr">
        <is>
          <t>1991-06-11</t>
        </is>
      </c>
      <c r="Y1202" t="n">
        <v>654</v>
      </c>
      <c r="Z1202" t="n">
        <v>568</v>
      </c>
      <c r="AA1202" t="n">
        <v>583</v>
      </c>
      <c r="AB1202" t="n">
        <v>5</v>
      </c>
      <c r="AC1202" t="n">
        <v>5</v>
      </c>
      <c r="AD1202" t="n">
        <v>30</v>
      </c>
      <c r="AE1202" t="n">
        <v>31</v>
      </c>
      <c r="AF1202" t="n">
        <v>13</v>
      </c>
      <c r="AG1202" t="n">
        <v>14</v>
      </c>
      <c r="AH1202" t="n">
        <v>6</v>
      </c>
      <c r="AI1202" t="n">
        <v>6</v>
      </c>
      <c r="AJ1202" t="n">
        <v>16</v>
      </c>
      <c r="AK1202" t="n">
        <v>16</v>
      </c>
      <c r="AL1202" t="n">
        <v>4</v>
      </c>
      <c r="AM1202" t="n">
        <v>4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Yes</t>
        </is>
      </c>
      <c r="AR1202">
        <f>HYPERLINK("http://catalog.hathitrust.org/Record/002229685","HathiTrust Record")</f>
        <v/>
      </c>
      <c r="AS1202">
        <f>HYPERLINK("https://creighton-primo.hosted.exlibrisgroup.com/primo-explore/search?tab=default_tab&amp;search_scope=EVERYTHING&amp;vid=01CRU&amp;lang=en_US&amp;offset=0&amp;query=any,contains,991001737239702656","Catalog Record")</f>
        <v/>
      </c>
      <c r="AT1202">
        <f>HYPERLINK("http://www.worldcat.org/oclc/21973696","WorldCat Record")</f>
        <v/>
      </c>
      <c r="AU1202" t="inlineStr">
        <is>
          <t>23284366:eng</t>
        </is>
      </c>
      <c r="AV1202" t="inlineStr">
        <is>
          <t>21973696</t>
        </is>
      </c>
      <c r="AW1202" t="inlineStr">
        <is>
          <t>991001737239702656</t>
        </is>
      </c>
      <c r="AX1202" t="inlineStr">
        <is>
          <t>991001737239702656</t>
        </is>
      </c>
      <c r="AY1202" t="inlineStr">
        <is>
          <t>2266551160002656</t>
        </is>
      </c>
      <c r="AZ1202" t="inlineStr">
        <is>
          <t>BOOK</t>
        </is>
      </c>
      <c r="BB1202" t="inlineStr">
        <is>
          <t>9781555422493</t>
        </is>
      </c>
      <c r="BC1202" t="inlineStr">
        <is>
          <t>32285000655158</t>
        </is>
      </c>
      <c r="BD1202" t="inlineStr">
        <is>
          <t>893322205</t>
        </is>
      </c>
    </row>
    <row r="1203">
      <c r="A1203" t="inlineStr">
        <is>
          <t>No</t>
        </is>
      </c>
      <c r="B1203" t="inlineStr">
        <is>
          <t>BF724.55.A35 S33</t>
        </is>
      </c>
      <c r="C1203" t="inlineStr">
        <is>
          <t>0                      BF 0724550A  35                 S  33</t>
        </is>
      </c>
      <c r="D1203" t="inlineStr">
        <is>
          <t>Adult development and aging / K. Warner Schaie, James Geiwitz.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K1203" t="inlineStr">
        <is>
          <t>Schaie, K. Warner (Klaus Warner), 1928-</t>
        </is>
      </c>
      <c r="L1203" t="inlineStr">
        <is>
          <t>Boston : Little, Brown, c1982.</t>
        </is>
      </c>
      <c r="M1203" t="inlineStr">
        <is>
          <t>1982</t>
        </is>
      </c>
      <c r="O1203" t="inlineStr">
        <is>
          <t>eng</t>
        </is>
      </c>
      <c r="P1203" t="inlineStr">
        <is>
          <t>mau</t>
        </is>
      </c>
      <c r="R1203" t="inlineStr">
        <is>
          <t xml:space="preserve">BF </t>
        </is>
      </c>
      <c r="S1203" t="n">
        <v>14</v>
      </c>
      <c r="T1203" t="n">
        <v>14</v>
      </c>
      <c r="U1203" t="inlineStr">
        <is>
          <t>2010-09-28</t>
        </is>
      </c>
      <c r="V1203" t="inlineStr">
        <is>
          <t>2010-09-28</t>
        </is>
      </c>
      <c r="W1203" t="inlineStr">
        <is>
          <t>1990-04-30</t>
        </is>
      </c>
      <c r="X1203" t="inlineStr">
        <is>
          <t>1990-04-30</t>
        </is>
      </c>
      <c r="Y1203" t="n">
        <v>204</v>
      </c>
      <c r="Z1203" t="n">
        <v>163</v>
      </c>
      <c r="AA1203" t="n">
        <v>397</v>
      </c>
      <c r="AB1203" t="n">
        <v>2</v>
      </c>
      <c r="AC1203" t="n">
        <v>4</v>
      </c>
      <c r="AD1203" t="n">
        <v>4</v>
      </c>
      <c r="AE1203" t="n">
        <v>18</v>
      </c>
      <c r="AF1203" t="n">
        <v>2</v>
      </c>
      <c r="AG1203" t="n">
        <v>9</v>
      </c>
      <c r="AH1203" t="n">
        <v>0</v>
      </c>
      <c r="AI1203" t="n">
        <v>2</v>
      </c>
      <c r="AJ1203" t="n">
        <v>1</v>
      </c>
      <c r="AK1203" t="n">
        <v>11</v>
      </c>
      <c r="AL1203" t="n">
        <v>1</v>
      </c>
      <c r="AM1203" t="n">
        <v>2</v>
      </c>
      <c r="AN1203" t="n">
        <v>0</v>
      </c>
      <c r="AO1203" t="n">
        <v>0</v>
      </c>
      <c r="AP1203" t="inlineStr">
        <is>
          <t>No</t>
        </is>
      </c>
      <c r="AQ1203" t="inlineStr">
        <is>
          <t>No</t>
        </is>
      </c>
      <c r="AS1203">
        <f>HYPERLINK("https://creighton-primo.hosted.exlibrisgroup.com/primo-explore/search?tab=default_tab&amp;search_scope=EVERYTHING&amp;vid=01CRU&amp;lang=en_US&amp;offset=0&amp;query=any,contains,991005248429702656","Catalog Record")</f>
        <v/>
      </c>
      <c r="AT1203">
        <f>HYPERLINK("http://www.worldcat.org/oclc/8475441","WorldCat Record")</f>
        <v/>
      </c>
      <c r="AU1203" t="inlineStr">
        <is>
          <t>5563106:eng</t>
        </is>
      </c>
      <c r="AV1203" t="inlineStr">
        <is>
          <t>8475441</t>
        </is>
      </c>
      <c r="AW1203" t="inlineStr">
        <is>
          <t>991005248429702656</t>
        </is>
      </c>
      <c r="AX1203" t="inlineStr">
        <is>
          <t>991005248429702656</t>
        </is>
      </c>
      <c r="AY1203" t="inlineStr">
        <is>
          <t>2259504670002656</t>
        </is>
      </c>
      <c r="AZ1203" t="inlineStr">
        <is>
          <t>BOOK</t>
        </is>
      </c>
      <c r="BB1203" t="inlineStr">
        <is>
          <t>9780316772716</t>
        </is>
      </c>
      <c r="BC1203" t="inlineStr">
        <is>
          <t>32285000127570</t>
        </is>
      </c>
      <c r="BD1203" t="inlineStr">
        <is>
          <t>893889925</t>
        </is>
      </c>
    </row>
    <row r="1204">
      <c r="A1204" t="inlineStr">
        <is>
          <t>No</t>
        </is>
      </c>
      <c r="B1204" t="inlineStr">
        <is>
          <t>BF724.55.C63 P66 1989</t>
        </is>
      </c>
      <c r="C1204" t="inlineStr">
        <is>
          <t>0                      BF 0724550C  63                 P  66          1989</t>
        </is>
      </c>
      <c r="D1204" t="inlineStr">
        <is>
          <t>Everyday cognition in adulthood and late life / edited by Leonard W. Poon, David C. Rubin, Barbara A. Wilson.</t>
        </is>
      </c>
      <c r="F1204" t="inlineStr">
        <is>
          <t>No</t>
        </is>
      </c>
      <c r="G1204" t="inlineStr">
        <is>
          <t>1</t>
        </is>
      </c>
      <c r="H1204" t="inlineStr">
        <is>
          <t>No</t>
        </is>
      </c>
      <c r="I1204" t="inlineStr">
        <is>
          <t>No</t>
        </is>
      </c>
      <c r="J1204" t="inlineStr">
        <is>
          <t>0</t>
        </is>
      </c>
      <c r="L1204" t="inlineStr">
        <is>
          <t>Cambridge [England] ; New York : Cambridge University Press, 1989.</t>
        </is>
      </c>
      <c r="M1204" t="inlineStr">
        <is>
          <t>1989</t>
        </is>
      </c>
      <c r="O1204" t="inlineStr">
        <is>
          <t>eng</t>
        </is>
      </c>
      <c r="P1204" t="inlineStr">
        <is>
          <t>enk</t>
        </is>
      </c>
      <c r="R1204" t="inlineStr">
        <is>
          <t xml:space="preserve">BF </t>
        </is>
      </c>
      <c r="S1204" t="n">
        <v>4</v>
      </c>
      <c r="T1204" t="n">
        <v>4</v>
      </c>
      <c r="U1204" t="inlineStr">
        <is>
          <t>2006-10-31</t>
        </is>
      </c>
      <c r="V1204" t="inlineStr">
        <is>
          <t>2006-10-31</t>
        </is>
      </c>
      <c r="W1204" t="inlineStr">
        <is>
          <t>1991-02-20</t>
        </is>
      </c>
      <c r="X1204" t="inlineStr">
        <is>
          <t>1991-02-20</t>
        </is>
      </c>
      <c r="Y1204" t="n">
        <v>553</v>
      </c>
      <c r="Z1204" t="n">
        <v>430</v>
      </c>
      <c r="AA1204" t="n">
        <v>469</v>
      </c>
      <c r="AB1204" t="n">
        <v>5</v>
      </c>
      <c r="AC1204" t="n">
        <v>5</v>
      </c>
      <c r="AD1204" t="n">
        <v>26</v>
      </c>
      <c r="AE1204" t="n">
        <v>27</v>
      </c>
      <c r="AF1204" t="n">
        <v>12</v>
      </c>
      <c r="AG1204" t="n">
        <v>12</v>
      </c>
      <c r="AH1204" t="n">
        <v>4</v>
      </c>
      <c r="AI1204" t="n">
        <v>4</v>
      </c>
      <c r="AJ1204" t="n">
        <v>14</v>
      </c>
      <c r="AK1204" t="n">
        <v>15</v>
      </c>
      <c r="AL1204" t="n">
        <v>4</v>
      </c>
      <c r="AM1204" t="n">
        <v>4</v>
      </c>
      <c r="AN1204" t="n">
        <v>0</v>
      </c>
      <c r="AO1204" t="n">
        <v>0</v>
      </c>
      <c r="AP1204" t="inlineStr">
        <is>
          <t>No</t>
        </is>
      </c>
      <c r="AQ1204" t="inlineStr">
        <is>
          <t>No</t>
        </is>
      </c>
      <c r="AS1204">
        <f>HYPERLINK("https://creighton-primo.hosted.exlibrisgroup.com/primo-explore/search?tab=default_tab&amp;search_scope=EVERYTHING&amp;vid=01CRU&amp;lang=en_US&amp;offset=0&amp;query=any,contains,991001367089702656","Catalog Record")</f>
        <v/>
      </c>
      <c r="AT1204">
        <f>HYPERLINK("http://www.worldcat.org/oclc/18559281","WorldCat Record")</f>
        <v/>
      </c>
      <c r="AU1204" t="inlineStr">
        <is>
          <t>180144651:eng</t>
        </is>
      </c>
      <c r="AV1204" t="inlineStr">
        <is>
          <t>18559281</t>
        </is>
      </c>
      <c r="AW1204" t="inlineStr">
        <is>
          <t>991001367089702656</t>
        </is>
      </c>
      <c r="AX1204" t="inlineStr">
        <is>
          <t>991001367089702656</t>
        </is>
      </c>
      <c r="AY1204" t="inlineStr">
        <is>
          <t>2260818210002656</t>
        </is>
      </c>
      <c r="AZ1204" t="inlineStr">
        <is>
          <t>BOOK</t>
        </is>
      </c>
      <c r="BB1204" t="inlineStr">
        <is>
          <t>9780521371483</t>
        </is>
      </c>
      <c r="BC1204" t="inlineStr">
        <is>
          <t>32285000490184</t>
        </is>
      </c>
      <c r="BD1204" t="inlineStr">
        <is>
          <t>893420271</t>
        </is>
      </c>
    </row>
    <row r="1205">
      <c r="A1205" t="inlineStr">
        <is>
          <t>No</t>
        </is>
      </c>
      <c r="B1205" t="inlineStr">
        <is>
          <t>BF724.55.C63 R93 1986</t>
        </is>
      </c>
      <c r="C1205" t="inlineStr">
        <is>
          <t>0                      BF 0724550C  63                 R  93          1986</t>
        </is>
      </c>
      <c r="D1205" t="inlineStr">
        <is>
          <t>Adult cognition and aging : developmental changes in processing, knowing and thinking / John M. Rybash, William J. Hoyer, Paul A. Roodin.</t>
        </is>
      </c>
      <c r="F1205" t="inlineStr">
        <is>
          <t>No</t>
        </is>
      </c>
      <c r="G1205" t="inlineStr">
        <is>
          <t>1</t>
        </is>
      </c>
      <c r="H1205" t="inlineStr">
        <is>
          <t>Yes</t>
        </is>
      </c>
      <c r="I1205" t="inlineStr">
        <is>
          <t>No</t>
        </is>
      </c>
      <c r="J1205" t="inlineStr">
        <is>
          <t>0</t>
        </is>
      </c>
      <c r="K1205" t="inlineStr">
        <is>
          <t>Rybash, John M.</t>
        </is>
      </c>
      <c r="L1205" t="inlineStr">
        <is>
          <t>New York : Pergamon Press, c1986.</t>
        </is>
      </c>
      <c r="M1205" t="inlineStr">
        <is>
          <t>1986</t>
        </is>
      </c>
      <c r="O1205" t="inlineStr">
        <is>
          <t>eng</t>
        </is>
      </c>
      <c r="P1205" t="inlineStr">
        <is>
          <t>nyu</t>
        </is>
      </c>
      <c r="Q1205" t="inlineStr">
        <is>
          <t>Pergamon general psychology series ; 139</t>
        </is>
      </c>
      <c r="R1205" t="inlineStr">
        <is>
          <t xml:space="preserve">BF </t>
        </is>
      </c>
      <c r="S1205" t="n">
        <v>15</v>
      </c>
      <c r="T1205" t="n">
        <v>15</v>
      </c>
      <c r="U1205" t="inlineStr">
        <is>
          <t>2006-10-01</t>
        </is>
      </c>
      <c r="V1205" t="inlineStr">
        <is>
          <t>2006-10-01</t>
        </is>
      </c>
      <c r="W1205" t="inlineStr">
        <is>
          <t>1992-04-22</t>
        </is>
      </c>
      <c r="X1205" t="inlineStr">
        <is>
          <t>1992-04-22</t>
        </is>
      </c>
      <c r="Y1205" t="n">
        <v>613</v>
      </c>
      <c r="Z1205" t="n">
        <v>484</v>
      </c>
      <c r="AA1205" t="n">
        <v>486</v>
      </c>
      <c r="AB1205" t="n">
        <v>8</v>
      </c>
      <c r="AC1205" t="n">
        <v>8</v>
      </c>
      <c r="AD1205" t="n">
        <v>30</v>
      </c>
      <c r="AE1205" t="n">
        <v>30</v>
      </c>
      <c r="AF1205" t="n">
        <v>11</v>
      </c>
      <c r="AG1205" t="n">
        <v>11</v>
      </c>
      <c r="AH1205" t="n">
        <v>6</v>
      </c>
      <c r="AI1205" t="n">
        <v>6</v>
      </c>
      <c r="AJ1205" t="n">
        <v>16</v>
      </c>
      <c r="AK1205" t="n">
        <v>16</v>
      </c>
      <c r="AL1205" t="n">
        <v>6</v>
      </c>
      <c r="AM1205" t="n">
        <v>6</v>
      </c>
      <c r="AN1205" t="n">
        <v>0</v>
      </c>
      <c r="AO1205" t="n">
        <v>0</v>
      </c>
      <c r="AP1205" t="inlineStr">
        <is>
          <t>No</t>
        </is>
      </c>
      <c r="AQ1205" t="inlineStr">
        <is>
          <t>Yes</t>
        </is>
      </c>
      <c r="AR1205">
        <f>HYPERLINK("http://catalog.hathitrust.org/Record/000806073","HathiTrust Record")</f>
        <v/>
      </c>
      <c r="AS1205">
        <f>HYPERLINK("https://creighton-primo.hosted.exlibrisgroup.com/primo-explore/search?tab=default_tab&amp;search_scope=EVERYTHING&amp;vid=01CRU&amp;lang=en_US&amp;offset=0&amp;query=any,contains,991000839619702656","Catalog Record")</f>
        <v/>
      </c>
      <c r="AT1205">
        <f>HYPERLINK("http://www.worldcat.org/oclc/13524925","WorldCat Record")</f>
        <v/>
      </c>
      <c r="AU1205" t="inlineStr">
        <is>
          <t>291265118:eng</t>
        </is>
      </c>
      <c r="AV1205" t="inlineStr">
        <is>
          <t>13524925</t>
        </is>
      </c>
      <c r="AW1205" t="inlineStr">
        <is>
          <t>991000839619702656</t>
        </is>
      </c>
      <c r="AX1205" t="inlineStr">
        <is>
          <t>991000839619702656</t>
        </is>
      </c>
      <c r="AY1205" t="inlineStr">
        <is>
          <t>2264142060002656</t>
        </is>
      </c>
      <c r="AZ1205" t="inlineStr">
        <is>
          <t>BOOK</t>
        </is>
      </c>
      <c r="BB1205" t="inlineStr">
        <is>
          <t>9780080331669</t>
        </is>
      </c>
      <c r="BC1205" t="inlineStr">
        <is>
          <t>32285001085801</t>
        </is>
      </c>
      <c r="BD1205" t="inlineStr">
        <is>
          <t>893790907</t>
        </is>
      </c>
    </row>
    <row r="1206">
      <c r="A1206" t="inlineStr">
        <is>
          <t>No</t>
        </is>
      </c>
      <c r="B1206" t="inlineStr">
        <is>
          <t>BF724.55.C63 S25 1985</t>
        </is>
      </c>
      <c r="C1206" t="inlineStr">
        <is>
          <t>0                      BF 0724550C  63                 S  25          1985</t>
        </is>
      </c>
      <c r="D1206" t="inlineStr">
        <is>
          <t>A theory of cognitive aging / Timothy Salthouse.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K1206" t="inlineStr">
        <is>
          <t>Salthouse, Timothy A.</t>
        </is>
      </c>
      <c r="L1206" t="inlineStr">
        <is>
          <t>Amsterdam ; New York : North-Holland ; New York, N.Y., U.S.A. : Sole distributors for the U.S.A. and Canada, Elsevier Science Pub. Co., 1985.</t>
        </is>
      </c>
      <c r="M1206" t="inlineStr">
        <is>
          <t>1985</t>
        </is>
      </c>
      <c r="O1206" t="inlineStr">
        <is>
          <t>eng</t>
        </is>
      </c>
      <c r="P1206" t="inlineStr">
        <is>
          <t xml:space="preserve">ne </t>
        </is>
      </c>
      <c r="Q1206" t="inlineStr">
        <is>
          <t>Advances in psychology ; 28</t>
        </is>
      </c>
      <c r="R1206" t="inlineStr">
        <is>
          <t xml:space="preserve">BF </t>
        </is>
      </c>
      <c r="S1206" t="n">
        <v>7</v>
      </c>
      <c r="T1206" t="n">
        <v>7</v>
      </c>
      <c r="U1206" t="inlineStr">
        <is>
          <t>2006-10-01</t>
        </is>
      </c>
      <c r="V1206" t="inlineStr">
        <is>
          <t>2006-10-01</t>
        </is>
      </c>
      <c r="W1206" t="inlineStr">
        <is>
          <t>1991-08-01</t>
        </is>
      </c>
      <c r="X1206" t="inlineStr">
        <is>
          <t>1991-08-01</t>
        </is>
      </c>
      <c r="Y1206" t="n">
        <v>299</v>
      </c>
      <c r="Z1206" t="n">
        <v>195</v>
      </c>
      <c r="AA1206" t="n">
        <v>237</v>
      </c>
      <c r="AB1206" t="n">
        <v>4</v>
      </c>
      <c r="AC1206" t="n">
        <v>4</v>
      </c>
      <c r="AD1206" t="n">
        <v>8</v>
      </c>
      <c r="AE1206" t="n">
        <v>10</v>
      </c>
      <c r="AF1206" t="n">
        <v>0</v>
      </c>
      <c r="AG1206" t="n">
        <v>1</v>
      </c>
      <c r="AH1206" t="n">
        <v>3</v>
      </c>
      <c r="AI1206" t="n">
        <v>4</v>
      </c>
      <c r="AJ1206" t="n">
        <v>4</v>
      </c>
      <c r="AK1206" t="n">
        <v>4</v>
      </c>
      <c r="AL1206" t="n">
        <v>3</v>
      </c>
      <c r="AM1206" t="n">
        <v>3</v>
      </c>
      <c r="AN1206" t="n">
        <v>0</v>
      </c>
      <c r="AO1206" t="n">
        <v>0</v>
      </c>
      <c r="AP1206" t="inlineStr">
        <is>
          <t>No</t>
        </is>
      </c>
      <c r="AQ1206" t="inlineStr">
        <is>
          <t>Yes</t>
        </is>
      </c>
      <c r="AR1206">
        <f>HYPERLINK("http://catalog.hathitrust.org/Record/000584072","HathiTrust Record")</f>
        <v/>
      </c>
      <c r="AS1206">
        <f>HYPERLINK("https://creighton-primo.hosted.exlibrisgroup.com/primo-explore/search?tab=default_tab&amp;search_scope=EVERYTHING&amp;vid=01CRU&amp;lang=en_US&amp;offset=0&amp;query=any,contains,991000684169702656","Catalog Record")</f>
        <v/>
      </c>
      <c r="AT1206">
        <f>HYPERLINK("http://www.worldcat.org/oclc/12419753","WorldCat Record")</f>
        <v/>
      </c>
      <c r="AU1206" t="inlineStr">
        <is>
          <t>5030294:eng</t>
        </is>
      </c>
      <c r="AV1206" t="inlineStr">
        <is>
          <t>12419753</t>
        </is>
      </c>
      <c r="AW1206" t="inlineStr">
        <is>
          <t>991000684169702656</t>
        </is>
      </c>
      <c r="AX1206" t="inlineStr">
        <is>
          <t>991000684169702656</t>
        </is>
      </c>
      <c r="AY1206" t="inlineStr">
        <is>
          <t>2261830340002656</t>
        </is>
      </c>
      <c r="AZ1206" t="inlineStr">
        <is>
          <t>BOOK</t>
        </is>
      </c>
      <c r="BB1206" t="inlineStr">
        <is>
          <t>9780444878274</t>
        </is>
      </c>
      <c r="BC1206" t="inlineStr">
        <is>
          <t>32285000680651</t>
        </is>
      </c>
      <c r="BD1206" t="inlineStr">
        <is>
          <t>893802995</t>
        </is>
      </c>
    </row>
    <row r="1207">
      <c r="A1207" t="inlineStr">
        <is>
          <t>No</t>
        </is>
      </c>
      <c r="B1207" t="inlineStr">
        <is>
          <t>BF724.55.C63 S32 1996</t>
        </is>
      </c>
      <c r="C1207" t="inlineStr">
        <is>
          <t>0                      BF 0724550C  63                 S  32          1996</t>
        </is>
      </c>
      <c r="D1207" t="inlineStr">
        <is>
          <t>Intellectual development in adulthood : the Seattle longitudinal study / K. Warner Schaie ; foreword by Paul B. Baltes.</t>
        </is>
      </c>
      <c r="F1207" t="inlineStr">
        <is>
          <t>No</t>
        </is>
      </c>
      <c r="G1207" t="inlineStr">
        <is>
          <t>1</t>
        </is>
      </c>
      <c r="H1207" t="inlineStr">
        <is>
          <t>No</t>
        </is>
      </c>
      <c r="I1207" t="inlineStr">
        <is>
          <t>No</t>
        </is>
      </c>
      <c r="J1207" t="inlineStr">
        <is>
          <t>0</t>
        </is>
      </c>
      <c r="K1207" t="inlineStr">
        <is>
          <t>Schaie, K. Warner (Klaus Warner), 1928-</t>
        </is>
      </c>
      <c r="L1207" t="inlineStr">
        <is>
          <t>Cambridge [England] ; New York : Cambridge University Press, 1996.</t>
        </is>
      </c>
      <c r="M1207" t="inlineStr">
        <is>
          <t>1996</t>
        </is>
      </c>
      <c r="O1207" t="inlineStr">
        <is>
          <t>eng</t>
        </is>
      </c>
      <c r="P1207" t="inlineStr">
        <is>
          <t>enk</t>
        </is>
      </c>
      <c r="R1207" t="inlineStr">
        <is>
          <t xml:space="preserve">BF </t>
        </is>
      </c>
      <c r="S1207" t="n">
        <v>2</v>
      </c>
      <c r="T1207" t="n">
        <v>2</v>
      </c>
      <c r="U1207" t="inlineStr">
        <is>
          <t>1998-03-18</t>
        </is>
      </c>
      <c r="V1207" t="inlineStr">
        <is>
          <t>1998-03-18</t>
        </is>
      </c>
      <c r="W1207" t="inlineStr">
        <is>
          <t>1996-02-26</t>
        </is>
      </c>
      <c r="X1207" t="inlineStr">
        <is>
          <t>1996-02-26</t>
        </is>
      </c>
      <c r="Y1207" t="n">
        <v>409</v>
      </c>
      <c r="Z1207" t="n">
        <v>295</v>
      </c>
      <c r="AA1207" t="n">
        <v>302</v>
      </c>
      <c r="AB1207" t="n">
        <v>4</v>
      </c>
      <c r="AC1207" t="n">
        <v>4</v>
      </c>
      <c r="AD1207" t="n">
        <v>15</v>
      </c>
      <c r="AE1207" t="n">
        <v>15</v>
      </c>
      <c r="AF1207" t="n">
        <v>5</v>
      </c>
      <c r="AG1207" t="n">
        <v>5</v>
      </c>
      <c r="AH1207" t="n">
        <v>4</v>
      </c>
      <c r="AI1207" t="n">
        <v>4</v>
      </c>
      <c r="AJ1207" t="n">
        <v>8</v>
      </c>
      <c r="AK1207" t="n">
        <v>8</v>
      </c>
      <c r="AL1207" t="n">
        <v>3</v>
      </c>
      <c r="AM1207" t="n">
        <v>3</v>
      </c>
      <c r="AN1207" t="n">
        <v>0</v>
      </c>
      <c r="AO1207" t="n">
        <v>0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HYPERLINK("https://creighton-primo.hosted.exlibrisgroup.com/primo-explore/search?tab=default_tab&amp;search_scope=EVERYTHING&amp;vid=01CRU&amp;lang=en_US&amp;offset=0&amp;query=any,contains,991002477839702656","Catalog Record")</f>
        <v/>
      </c>
      <c r="AT1207">
        <f>HYPERLINK("http://www.worldcat.org/oclc/32272475","WorldCat Record")</f>
        <v/>
      </c>
      <c r="AU1207" t="inlineStr">
        <is>
          <t>2864318367:eng</t>
        </is>
      </c>
      <c r="AV1207" t="inlineStr">
        <is>
          <t>32272475</t>
        </is>
      </c>
      <c r="AW1207" t="inlineStr">
        <is>
          <t>991002477839702656</t>
        </is>
      </c>
      <c r="AX1207" t="inlineStr">
        <is>
          <t>991002477839702656</t>
        </is>
      </c>
      <c r="AY1207" t="inlineStr">
        <is>
          <t>2261054170002656</t>
        </is>
      </c>
      <c r="AZ1207" t="inlineStr">
        <is>
          <t>BOOK</t>
        </is>
      </c>
      <c r="BB1207" t="inlineStr">
        <is>
          <t>9780521430142</t>
        </is>
      </c>
      <c r="BC1207" t="inlineStr">
        <is>
          <t>32285002138070</t>
        </is>
      </c>
      <c r="BD1207" t="inlineStr">
        <is>
          <t>893892595</t>
        </is>
      </c>
    </row>
    <row r="1208">
      <c r="A1208" t="inlineStr">
        <is>
          <t>No</t>
        </is>
      </c>
      <c r="B1208" t="inlineStr">
        <is>
          <t>BF724.6 .B5</t>
        </is>
      </c>
      <c r="C1208" t="inlineStr">
        <is>
          <t>0                      BF 0724600B  5</t>
        </is>
      </c>
      <c r="D1208" t="inlineStr">
        <is>
          <t>The psychology of aging / [by] James E. Birren.</t>
        </is>
      </c>
      <c r="F1208" t="inlineStr">
        <is>
          <t>No</t>
        </is>
      </c>
      <c r="G1208" t="inlineStr">
        <is>
          <t>1</t>
        </is>
      </c>
      <c r="H1208" t="inlineStr">
        <is>
          <t>No</t>
        </is>
      </c>
      <c r="I1208" t="inlineStr">
        <is>
          <t>No</t>
        </is>
      </c>
      <c r="J1208" t="inlineStr">
        <is>
          <t>0</t>
        </is>
      </c>
      <c r="K1208" t="inlineStr">
        <is>
          <t>Birren, James E.</t>
        </is>
      </c>
      <c r="L1208" t="inlineStr">
        <is>
          <t>Englewood Cliffs, N.J. : Prentice-Hall, [1964]</t>
        </is>
      </c>
      <c r="M1208" t="inlineStr">
        <is>
          <t>1964</t>
        </is>
      </c>
      <c r="O1208" t="inlineStr">
        <is>
          <t>eng</t>
        </is>
      </c>
      <c r="P1208" t="inlineStr">
        <is>
          <t>nju</t>
        </is>
      </c>
      <c r="R1208" t="inlineStr">
        <is>
          <t xml:space="preserve">BF </t>
        </is>
      </c>
      <c r="S1208" t="n">
        <v>3</v>
      </c>
      <c r="T1208" t="n">
        <v>3</v>
      </c>
      <c r="U1208" t="inlineStr">
        <is>
          <t>2002-11-30</t>
        </is>
      </c>
      <c r="V1208" t="inlineStr">
        <is>
          <t>2002-11-30</t>
        </is>
      </c>
      <c r="W1208" t="inlineStr">
        <is>
          <t>1990-10-01</t>
        </is>
      </c>
      <c r="X1208" t="inlineStr">
        <is>
          <t>1990-10-01</t>
        </is>
      </c>
      <c r="Y1208" t="n">
        <v>1089</v>
      </c>
      <c r="Z1208" t="n">
        <v>913</v>
      </c>
      <c r="AA1208" t="n">
        <v>921</v>
      </c>
      <c r="AB1208" t="n">
        <v>8</v>
      </c>
      <c r="AC1208" t="n">
        <v>8</v>
      </c>
      <c r="AD1208" t="n">
        <v>38</v>
      </c>
      <c r="AE1208" t="n">
        <v>38</v>
      </c>
      <c r="AF1208" t="n">
        <v>15</v>
      </c>
      <c r="AG1208" t="n">
        <v>15</v>
      </c>
      <c r="AH1208" t="n">
        <v>7</v>
      </c>
      <c r="AI1208" t="n">
        <v>7</v>
      </c>
      <c r="AJ1208" t="n">
        <v>15</v>
      </c>
      <c r="AK1208" t="n">
        <v>15</v>
      </c>
      <c r="AL1208" t="n">
        <v>7</v>
      </c>
      <c r="AM1208" t="n">
        <v>7</v>
      </c>
      <c r="AN1208" t="n">
        <v>0</v>
      </c>
      <c r="AO1208" t="n">
        <v>0</v>
      </c>
      <c r="AP1208" t="inlineStr">
        <is>
          <t>No</t>
        </is>
      </c>
      <c r="AQ1208" t="inlineStr">
        <is>
          <t>Yes</t>
        </is>
      </c>
      <c r="AR1208">
        <f>HYPERLINK("http://catalog.hathitrust.org/Record/000474092","HathiTrust Record")</f>
        <v/>
      </c>
      <c r="AS1208">
        <f>HYPERLINK("https://creighton-primo.hosted.exlibrisgroup.com/primo-explore/search?tab=default_tab&amp;search_scope=EVERYTHING&amp;vid=01CRU&amp;lang=en_US&amp;offset=0&amp;query=any,contains,991002218279702656","Catalog Record")</f>
        <v/>
      </c>
      <c r="AT1208">
        <f>HYPERLINK("http://www.worldcat.org/oclc/289395","WorldCat Record")</f>
        <v/>
      </c>
      <c r="AU1208" t="inlineStr">
        <is>
          <t>1467038:eng</t>
        </is>
      </c>
      <c r="AV1208" t="inlineStr">
        <is>
          <t>289395</t>
        </is>
      </c>
      <c r="AW1208" t="inlineStr">
        <is>
          <t>991002218279702656</t>
        </is>
      </c>
      <c r="AX1208" t="inlineStr">
        <is>
          <t>991002218279702656</t>
        </is>
      </c>
      <c r="AY1208" t="inlineStr">
        <is>
          <t>2261952480002656</t>
        </is>
      </c>
      <c r="AZ1208" t="inlineStr">
        <is>
          <t>BOOK</t>
        </is>
      </c>
      <c r="BC1208" t="inlineStr">
        <is>
          <t>32285000322858</t>
        </is>
      </c>
      <c r="BD1208" t="inlineStr">
        <is>
          <t>893697488</t>
        </is>
      </c>
    </row>
    <row r="1209">
      <c r="A1209" t="inlineStr">
        <is>
          <t>No</t>
        </is>
      </c>
      <c r="B1209" t="inlineStr">
        <is>
          <t>BF724.6 .S42 1978</t>
        </is>
      </c>
      <c r="C1209" t="inlineStr">
        <is>
          <t>0                      BF 0724600S  42          1978</t>
        </is>
      </c>
      <c r="D1209" t="inlineStr">
        <is>
          <t>The Seasons of a man's life / by Daniel J. Levinson ... [et al.].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L1209" t="inlineStr">
        <is>
          <t>New York : Knopf, c1978.</t>
        </is>
      </c>
      <c r="M1209" t="inlineStr">
        <is>
          <t>1978</t>
        </is>
      </c>
      <c r="N1209" t="inlineStr">
        <is>
          <t>1st ed.</t>
        </is>
      </c>
      <c r="O1209" t="inlineStr">
        <is>
          <t>eng</t>
        </is>
      </c>
      <c r="P1209" t="inlineStr">
        <is>
          <t>nyu</t>
        </is>
      </c>
      <c r="R1209" t="inlineStr">
        <is>
          <t xml:space="preserve">BF </t>
        </is>
      </c>
      <c r="S1209" t="n">
        <v>19</v>
      </c>
      <c r="T1209" t="n">
        <v>19</v>
      </c>
      <c r="U1209" t="inlineStr">
        <is>
          <t>2005-11-09</t>
        </is>
      </c>
      <c r="V1209" t="inlineStr">
        <is>
          <t>2005-11-09</t>
        </is>
      </c>
      <c r="W1209" t="inlineStr">
        <is>
          <t>1992-07-30</t>
        </is>
      </c>
      <c r="X1209" t="inlineStr">
        <is>
          <t>1992-07-30</t>
        </is>
      </c>
      <c r="Y1209" t="n">
        <v>1903</v>
      </c>
      <c r="Z1209" t="n">
        <v>1720</v>
      </c>
      <c r="AA1209" t="n">
        <v>2122</v>
      </c>
      <c r="AB1209" t="n">
        <v>15</v>
      </c>
      <c r="AC1209" t="n">
        <v>17</v>
      </c>
      <c r="AD1209" t="n">
        <v>43</v>
      </c>
      <c r="AE1209" t="n">
        <v>55</v>
      </c>
      <c r="AF1209" t="n">
        <v>18</v>
      </c>
      <c r="AG1209" t="n">
        <v>25</v>
      </c>
      <c r="AH1209" t="n">
        <v>7</v>
      </c>
      <c r="AI1209" t="n">
        <v>10</v>
      </c>
      <c r="AJ1209" t="n">
        <v>17</v>
      </c>
      <c r="AK1209" t="n">
        <v>23</v>
      </c>
      <c r="AL1209" t="n">
        <v>9</v>
      </c>
      <c r="AM1209" t="n">
        <v>9</v>
      </c>
      <c r="AN1209" t="n">
        <v>0</v>
      </c>
      <c r="AO1209" t="n">
        <v>0</v>
      </c>
      <c r="AP1209" t="inlineStr">
        <is>
          <t>No</t>
        </is>
      </c>
      <c r="AQ1209" t="inlineStr">
        <is>
          <t>Yes</t>
        </is>
      </c>
      <c r="AR1209">
        <f>HYPERLINK("http://catalog.hathitrust.org/Record/000750195","HathiTrust Record")</f>
        <v/>
      </c>
      <c r="AS1209">
        <f>HYPERLINK("https://creighton-primo.hosted.exlibrisgroup.com/primo-explore/search?tab=default_tab&amp;search_scope=EVERYTHING&amp;vid=01CRU&amp;lang=en_US&amp;offset=0&amp;query=any,contains,991004415729702656","Catalog Record")</f>
        <v/>
      </c>
      <c r="AT1209">
        <f>HYPERLINK("http://www.worldcat.org/oclc/3361598","WorldCat Record")</f>
        <v/>
      </c>
      <c r="AU1209" t="inlineStr">
        <is>
          <t>36316781:eng</t>
        </is>
      </c>
      <c r="AV1209" t="inlineStr">
        <is>
          <t>3361598</t>
        </is>
      </c>
      <c r="AW1209" t="inlineStr">
        <is>
          <t>991004415729702656</t>
        </is>
      </c>
      <c r="AX1209" t="inlineStr">
        <is>
          <t>991004415729702656</t>
        </is>
      </c>
      <c r="AY1209" t="inlineStr">
        <is>
          <t>2255450200002656</t>
        </is>
      </c>
      <c r="AZ1209" t="inlineStr">
        <is>
          <t>BOOK</t>
        </is>
      </c>
      <c r="BB1209" t="inlineStr">
        <is>
          <t>9780394406947</t>
        </is>
      </c>
      <c r="BC1209" t="inlineStr">
        <is>
          <t>32285001240570</t>
        </is>
      </c>
      <c r="BD1209" t="inlineStr">
        <is>
          <t>893888672</t>
        </is>
      </c>
    </row>
    <row r="1210">
      <c r="A1210" t="inlineStr">
        <is>
          <t>No</t>
        </is>
      </c>
      <c r="B1210" t="inlineStr">
        <is>
          <t>BF724.8 .A43 1973</t>
        </is>
      </c>
      <c r="C1210" t="inlineStr">
        <is>
          <t>0                      BF 0724800A  43          1973</t>
        </is>
      </c>
      <c r="D1210" t="inlineStr">
        <is>
          <t>The psychology of adult development and aging. Editors: Carl Eisdorfer and M. Powell Lawton.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American Psychological Association. Task Force on Aging.</t>
        </is>
      </c>
      <c r="L1210" t="inlineStr">
        <is>
          <t>Washington, American Psychological Association [1973]</t>
        </is>
      </c>
      <c r="M1210" t="inlineStr">
        <is>
          <t>1973</t>
        </is>
      </c>
      <c r="O1210" t="inlineStr">
        <is>
          <t>eng</t>
        </is>
      </c>
      <c r="P1210" t="inlineStr">
        <is>
          <t>dcu</t>
        </is>
      </c>
      <c r="R1210" t="inlineStr">
        <is>
          <t xml:space="preserve">BF </t>
        </is>
      </c>
      <c r="S1210" t="n">
        <v>5</v>
      </c>
      <c r="T1210" t="n">
        <v>5</v>
      </c>
      <c r="U1210" t="inlineStr">
        <is>
          <t>2002-04-23</t>
        </is>
      </c>
      <c r="V1210" t="inlineStr">
        <is>
          <t>2002-04-23</t>
        </is>
      </c>
      <c r="W1210" t="inlineStr">
        <is>
          <t>1996-08-06</t>
        </is>
      </c>
      <c r="X1210" t="inlineStr">
        <is>
          <t>1996-08-06</t>
        </is>
      </c>
      <c r="Y1210" t="n">
        <v>681</v>
      </c>
      <c r="Z1210" t="n">
        <v>565</v>
      </c>
      <c r="AA1210" t="n">
        <v>591</v>
      </c>
      <c r="AB1210" t="n">
        <v>7</v>
      </c>
      <c r="AC1210" t="n">
        <v>7</v>
      </c>
      <c r="AD1210" t="n">
        <v>26</v>
      </c>
      <c r="AE1210" t="n">
        <v>26</v>
      </c>
      <c r="AF1210" t="n">
        <v>5</v>
      </c>
      <c r="AG1210" t="n">
        <v>5</v>
      </c>
      <c r="AH1210" t="n">
        <v>6</v>
      </c>
      <c r="AI1210" t="n">
        <v>6</v>
      </c>
      <c r="AJ1210" t="n">
        <v>17</v>
      </c>
      <c r="AK1210" t="n">
        <v>17</v>
      </c>
      <c r="AL1210" t="n">
        <v>5</v>
      </c>
      <c r="AM1210" t="n">
        <v>5</v>
      </c>
      <c r="AN1210" t="n">
        <v>0</v>
      </c>
      <c r="AO1210" t="n">
        <v>0</v>
      </c>
      <c r="AP1210" t="inlineStr">
        <is>
          <t>No</t>
        </is>
      </c>
      <c r="AQ1210" t="inlineStr">
        <is>
          <t>Yes</t>
        </is>
      </c>
      <c r="AR1210">
        <f>HYPERLINK("http://catalog.hathitrust.org/Record/000430370","HathiTrust Record")</f>
        <v/>
      </c>
      <c r="AS1210">
        <f>HYPERLINK("https://creighton-primo.hosted.exlibrisgroup.com/primo-explore/search?tab=default_tab&amp;search_scope=EVERYTHING&amp;vid=01CRU&amp;lang=en_US&amp;offset=0&amp;query=any,contains,991005309289702656","Catalog Record")</f>
        <v/>
      </c>
      <c r="AT1210">
        <f>HYPERLINK("http://www.worldcat.org/oclc/707110","WorldCat Record")</f>
        <v/>
      </c>
      <c r="AU1210" t="inlineStr">
        <is>
          <t>1635782:eng</t>
        </is>
      </c>
      <c r="AV1210" t="inlineStr">
        <is>
          <t>707110</t>
        </is>
      </c>
      <c r="AW1210" t="inlineStr">
        <is>
          <t>991005309289702656</t>
        </is>
      </c>
      <c r="AX1210" t="inlineStr">
        <is>
          <t>991005309289702656</t>
        </is>
      </c>
      <c r="AY1210" t="inlineStr">
        <is>
          <t>2269076200002656</t>
        </is>
      </c>
      <c r="AZ1210" t="inlineStr">
        <is>
          <t>BOOK</t>
        </is>
      </c>
      <c r="BC1210" t="inlineStr">
        <is>
          <t>32285002257151</t>
        </is>
      </c>
      <c r="BD1210" t="inlineStr">
        <is>
          <t>893326551</t>
        </is>
      </c>
    </row>
    <row r="1211">
      <c r="A1211" t="inlineStr">
        <is>
          <t>No</t>
        </is>
      </c>
      <c r="B1211" t="inlineStr">
        <is>
          <t>BF724.8 .B7</t>
        </is>
      </c>
      <c r="C1211" t="inlineStr">
        <is>
          <t>0                      BF 0724800B  7</t>
        </is>
      </c>
      <c r="D1211" t="inlineStr">
        <is>
          <t>The psychology of human ageing [by] D. B. Bromley.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K1211" t="inlineStr">
        <is>
          <t>Bromley, D. B. (Dennis Basil), 1924-</t>
        </is>
      </c>
      <c r="L1211" t="inlineStr">
        <is>
          <t>Harmondsworth, Penguin, 1966.</t>
        </is>
      </c>
      <c r="M1211" t="inlineStr">
        <is>
          <t>1966</t>
        </is>
      </c>
      <c r="O1211" t="inlineStr">
        <is>
          <t>eng</t>
        </is>
      </c>
      <c r="P1211" t="inlineStr">
        <is>
          <t>enk</t>
        </is>
      </c>
      <c r="Q1211" t="inlineStr">
        <is>
          <t>Pelican books ; A848</t>
        </is>
      </c>
      <c r="R1211" t="inlineStr">
        <is>
          <t xml:space="preserve">BF </t>
        </is>
      </c>
      <c r="S1211" t="n">
        <v>2</v>
      </c>
      <c r="T1211" t="n">
        <v>2</v>
      </c>
      <c r="U1211" t="inlineStr">
        <is>
          <t>2000-09-05</t>
        </is>
      </c>
      <c r="V1211" t="inlineStr">
        <is>
          <t>2000-09-05</t>
        </is>
      </c>
      <c r="W1211" t="inlineStr">
        <is>
          <t>1996-08-06</t>
        </is>
      </c>
      <c r="X1211" t="inlineStr">
        <is>
          <t>1996-08-06</t>
        </is>
      </c>
      <c r="Y1211" t="n">
        <v>201</v>
      </c>
      <c r="Z1211" t="n">
        <v>91</v>
      </c>
      <c r="AA1211" t="n">
        <v>579</v>
      </c>
      <c r="AB1211" t="n">
        <v>2</v>
      </c>
      <c r="AC1211" t="n">
        <v>4</v>
      </c>
      <c r="AD1211" t="n">
        <v>3</v>
      </c>
      <c r="AE1211" t="n">
        <v>21</v>
      </c>
      <c r="AF1211" t="n">
        <v>1</v>
      </c>
      <c r="AG1211" t="n">
        <v>6</v>
      </c>
      <c r="AH1211" t="n">
        <v>0</v>
      </c>
      <c r="AI1211" t="n">
        <v>4</v>
      </c>
      <c r="AJ1211" t="n">
        <v>1</v>
      </c>
      <c r="AK1211" t="n">
        <v>12</v>
      </c>
      <c r="AL1211" t="n">
        <v>1</v>
      </c>
      <c r="AM1211" t="n">
        <v>3</v>
      </c>
      <c r="AN1211" t="n">
        <v>0</v>
      </c>
      <c r="AO1211" t="n">
        <v>0</v>
      </c>
      <c r="AP1211" t="inlineStr">
        <is>
          <t>No</t>
        </is>
      </c>
      <c r="AQ1211" t="inlineStr">
        <is>
          <t>Yes</t>
        </is>
      </c>
      <c r="AR1211">
        <f>HYPERLINK("http://catalog.hathitrust.org/Record/000430006","HathiTrust Record")</f>
        <v/>
      </c>
      <c r="AS1211">
        <f>HYPERLINK("https://creighton-primo.hosted.exlibrisgroup.com/primo-explore/search?tab=default_tab&amp;search_scope=EVERYTHING&amp;vid=01CRU&amp;lang=en_US&amp;offset=0&amp;query=any,contains,991002416299702656","Catalog Record")</f>
        <v/>
      </c>
      <c r="AT1211">
        <f>HYPERLINK("http://www.worldcat.org/oclc/341872","WorldCat Record")</f>
        <v/>
      </c>
      <c r="AU1211" t="inlineStr">
        <is>
          <t>412989:eng</t>
        </is>
      </c>
      <c r="AV1211" t="inlineStr">
        <is>
          <t>341872</t>
        </is>
      </c>
      <c r="AW1211" t="inlineStr">
        <is>
          <t>991002416299702656</t>
        </is>
      </c>
      <c r="AX1211" t="inlineStr">
        <is>
          <t>991002416299702656</t>
        </is>
      </c>
      <c r="AY1211" t="inlineStr">
        <is>
          <t>2265677970002656</t>
        </is>
      </c>
      <c r="AZ1211" t="inlineStr">
        <is>
          <t>BOOK</t>
        </is>
      </c>
      <c r="BC1211" t="inlineStr">
        <is>
          <t>32285002271129</t>
        </is>
      </c>
      <c r="BD1211" t="inlineStr">
        <is>
          <t>893879898</t>
        </is>
      </c>
    </row>
    <row r="1212">
      <c r="A1212" t="inlineStr">
        <is>
          <t>No</t>
        </is>
      </c>
      <c r="B1212" t="inlineStr">
        <is>
          <t>BF724.8 .G4</t>
        </is>
      </c>
      <c r="C1212" t="inlineStr">
        <is>
          <t>0                      BF 0724800G  4</t>
        </is>
      </c>
      <c r="D1212" t="inlineStr">
        <is>
          <t>The psychological aspects of the aging process with sociological implications.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Geist, Harold, 1916-1994.</t>
        </is>
      </c>
      <c r="L1212" t="inlineStr">
        <is>
          <t>St. Louis : W.H. Green, [c1968]</t>
        </is>
      </c>
      <c r="M1212" t="inlineStr">
        <is>
          <t>1968</t>
        </is>
      </c>
      <c r="O1212" t="inlineStr">
        <is>
          <t>eng</t>
        </is>
      </c>
      <c r="P1212" t="inlineStr">
        <is>
          <t>mou</t>
        </is>
      </c>
      <c r="R1212" t="inlineStr">
        <is>
          <t xml:space="preserve">BF </t>
        </is>
      </c>
      <c r="S1212" t="n">
        <v>2</v>
      </c>
      <c r="T1212" t="n">
        <v>2</v>
      </c>
      <c r="U1212" t="inlineStr">
        <is>
          <t>1996-02-07</t>
        </is>
      </c>
      <c r="V1212" t="inlineStr">
        <is>
          <t>1996-02-07</t>
        </is>
      </c>
      <c r="W1212" t="inlineStr">
        <is>
          <t>1994-11-28</t>
        </is>
      </c>
      <c r="X1212" t="inlineStr">
        <is>
          <t>1994-11-28</t>
        </is>
      </c>
      <c r="Y1212" t="n">
        <v>396</v>
      </c>
      <c r="Z1212" t="n">
        <v>336</v>
      </c>
      <c r="AA1212" t="n">
        <v>427</v>
      </c>
      <c r="AB1212" t="n">
        <v>2</v>
      </c>
      <c r="AC1212" t="n">
        <v>2</v>
      </c>
      <c r="AD1212" t="n">
        <v>13</v>
      </c>
      <c r="AE1212" t="n">
        <v>16</v>
      </c>
      <c r="AF1212" t="n">
        <v>3</v>
      </c>
      <c r="AG1212" t="n">
        <v>5</v>
      </c>
      <c r="AH1212" t="n">
        <v>2</v>
      </c>
      <c r="AI1212" t="n">
        <v>3</v>
      </c>
      <c r="AJ1212" t="n">
        <v>8</v>
      </c>
      <c r="AK1212" t="n">
        <v>11</v>
      </c>
      <c r="AL1212" t="n">
        <v>1</v>
      </c>
      <c r="AM1212" t="n">
        <v>1</v>
      </c>
      <c r="AN1212" t="n">
        <v>0</v>
      </c>
      <c r="AO1212" t="n">
        <v>0</v>
      </c>
      <c r="AP1212" t="inlineStr">
        <is>
          <t>No</t>
        </is>
      </c>
      <c r="AQ1212" t="inlineStr">
        <is>
          <t>Yes</t>
        </is>
      </c>
      <c r="AR1212">
        <f>HYPERLINK("http://catalog.hathitrust.org/Record/000430008","HathiTrust Record")</f>
        <v/>
      </c>
      <c r="AS1212">
        <f>HYPERLINK("https://creighton-primo.hosted.exlibrisgroup.com/primo-explore/search?tab=default_tab&amp;search_scope=EVERYTHING&amp;vid=01CRU&amp;lang=en_US&amp;offset=0&amp;query=any,contains,991005435089702656","Catalog Record")</f>
        <v/>
      </c>
      <c r="AT1212">
        <f>HYPERLINK("http://www.worldcat.org/oclc/2793","WorldCat Record")</f>
        <v/>
      </c>
      <c r="AU1212" t="inlineStr">
        <is>
          <t>5701357:eng</t>
        </is>
      </c>
      <c r="AV1212" t="inlineStr">
        <is>
          <t>2793</t>
        </is>
      </c>
      <c r="AW1212" t="inlineStr">
        <is>
          <t>991005435089702656</t>
        </is>
      </c>
      <c r="AX1212" t="inlineStr">
        <is>
          <t>991005435089702656</t>
        </is>
      </c>
      <c r="AY1212" t="inlineStr">
        <is>
          <t>2262693100002656</t>
        </is>
      </c>
      <c r="AZ1212" t="inlineStr">
        <is>
          <t>BOOK</t>
        </is>
      </c>
      <c r="BC1212" t="inlineStr">
        <is>
          <t>32285001968394</t>
        </is>
      </c>
      <c r="BD1212" t="inlineStr">
        <is>
          <t>893777476</t>
        </is>
      </c>
    </row>
    <row r="1213">
      <c r="A1213" t="inlineStr">
        <is>
          <t>No</t>
        </is>
      </c>
      <c r="B1213" t="inlineStr">
        <is>
          <t>BF724.8 .H46 1979</t>
        </is>
      </c>
      <c r="C1213" t="inlineStr">
        <is>
          <t>0                      BF 0724800H  46          1979</t>
        </is>
      </c>
      <c r="D1213" t="inlineStr">
        <is>
          <t>Counseling elders and their families : practical techniques for applied gerontology / John J. Herr, John H. Weakland ; foreword by James E. Birren.</t>
        </is>
      </c>
      <c r="F1213" t="inlineStr">
        <is>
          <t>No</t>
        </is>
      </c>
      <c r="G1213" t="inlineStr">
        <is>
          <t>1</t>
        </is>
      </c>
      <c r="H1213" t="inlineStr">
        <is>
          <t>Yes</t>
        </is>
      </c>
      <c r="I1213" t="inlineStr">
        <is>
          <t>No</t>
        </is>
      </c>
      <c r="J1213" t="inlineStr">
        <is>
          <t>0</t>
        </is>
      </c>
      <c r="K1213" t="inlineStr">
        <is>
          <t>Herr, John J.</t>
        </is>
      </c>
      <c r="L1213" t="inlineStr">
        <is>
          <t>New York : Springer Pub. Co., c1979.</t>
        </is>
      </c>
      <c r="M1213" t="inlineStr">
        <is>
          <t>1979</t>
        </is>
      </c>
      <c r="O1213" t="inlineStr">
        <is>
          <t>eng</t>
        </is>
      </c>
      <c r="P1213" t="inlineStr">
        <is>
          <t>nyu</t>
        </is>
      </c>
      <c r="Q1213" t="inlineStr">
        <is>
          <t>Springer series on adulthood and aging ; v. 2</t>
        </is>
      </c>
      <c r="R1213" t="inlineStr">
        <is>
          <t xml:space="preserve">BF </t>
        </is>
      </c>
      <c r="S1213" t="n">
        <v>3</v>
      </c>
      <c r="T1213" t="n">
        <v>11</v>
      </c>
      <c r="U1213" t="inlineStr">
        <is>
          <t>2010-11-16</t>
        </is>
      </c>
      <c r="V1213" t="inlineStr">
        <is>
          <t>2010-11-16</t>
        </is>
      </c>
      <c r="W1213" t="inlineStr">
        <is>
          <t>1992-04-08</t>
        </is>
      </c>
      <c r="X1213" t="inlineStr">
        <is>
          <t>1992-04-08</t>
        </is>
      </c>
      <c r="Y1213" t="n">
        <v>779</v>
      </c>
      <c r="Z1213" t="n">
        <v>675</v>
      </c>
      <c r="AA1213" t="n">
        <v>682</v>
      </c>
      <c r="AB1213" t="n">
        <v>6</v>
      </c>
      <c r="AC1213" t="n">
        <v>6</v>
      </c>
      <c r="AD1213" t="n">
        <v>28</v>
      </c>
      <c r="AE1213" t="n">
        <v>28</v>
      </c>
      <c r="AF1213" t="n">
        <v>15</v>
      </c>
      <c r="AG1213" t="n">
        <v>15</v>
      </c>
      <c r="AH1213" t="n">
        <v>5</v>
      </c>
      <c r="AI1213" t="n">
        <v>5</v>
      </c>
      <c r="AJ1213" t="n">
        <v>12</v>
      </c>
      <c r="AK1213" t="n">
        <v>12</v>
      </c>
      <c r="AL1213" t="n">
        <v>4</v>
      </c>
      <c r="AM1213" t="n">
        <v>4</v>
      </c>
      <c r="AN1213" t="n">
        <v>0</v>
      </c>
      <c r="AO1213" t="n">
        <v>0</v>
      </c>
      <c r="AP1213" t="inlineStr">
        <is>
          <t>No</t>
        </is>
      </c>
      <c r="AQ1213" t="inlineStr">
        <is>
          <t>Yes</t>
        </is>
      </c>
      <c r="AR1213">
        <f>HYPERLINK("http://catalog.hathitrust.org/Record/000127129","HathiTrust Record")</f>
        <v/>
      </c>
      <c r="AS1213">
        <f>HYPERLINK("https://creighton-primo.hosted.exlibrisgroup.com/primo-explore/search?tab=default_tab&amp;search_scope=EVERYTHING&amp;vid=01CRU&amp;lang=en_US&amp;offset=0&amp;query=any,contains,991001782679702656","Catalog Record")</f>
        <v/>
      </c>
      <c r="AT1213">
        <f>HYPERLINK("http://www.worldcat.org/oclc/4493613","WorldCat Record")</f>
        <v/>
      </c>
      <c r="AU1213" t="inlineStr">
        <is>
          <t>889881615:eng</t>
        </is>
      </c>
      <c r="AV1213" t="inlineStr">
        <is>
          <t>4493613</t>
        </is>
      </c>
      <c r="AW1213" t="inlineStr">
        <is>
          <t>991001782679702656</t>
        </is>
      </c>
      <c r="AX1213" t="inlineStr">
        <is>
          <t>991001782679702656</t>
        </is>
      </c>
      <c r="AY1213" t="inlineStr">
        <is>
          <t>2260908950002656</t>
        </is>
      </c>
      <c r="AZ1213" t="inlineStr">
        <is>
          <t>BOOK</t>
        </is>
      </c>
      <c r="BB1213" t="inlineStr">
        <is>
          <t>9780826125101</t>
        </is>
      </c>
      <c r="BC1213" t="inlineStr">
        <is>
          <t>32285001056505</t>
        </is>
      </c>
      <c r="BD1213" t="inlineStr">
        <is>
          <t>893898054</t>
        </is>
      </c>
    </row>
    <row r="1214">
      <c r="A1214" t="inlineStr">
        <is>
          <t>No</t>
        </is>
      </c>
      <c r="B1214" t="inlineStr">
        <is>
          <t>BF724.8 .K3</t>
        </is>
      </c>
      <c r="C1214" t="inlineStr">
        <is>
          <t>0                      BF 0724800K  3</t>
        </is>
      </c>
      <c r="D1214" t="inlineStr">
        <is>
          <t>New thoughts on old age / the contributors: Ruth Aisenberg [and others]</t>
        </is>
      </c>
      <c r="F1214" t="inlineStr">
        <is>
          <t>No</t>
        </is>
      </c>
      <c r="G1214" t="inlineStr">
        <is>
          <t>1</t>
        </is>
      </c>
      <c r="H1214" t="inlineStr">
        <is>
          <t>No</t>
        </is>
      </c>
      <c r="I1214" t="inlineStr">
        <is>
          <t>No</t>
        </is>
      </c>
      <c r="J1214" t="inlineStr">
        <is>
          <t>0</t>
        </is>
      </c>
      <c r="K1214" t="inlineStr">
        <is>
          <t>Kastenbaum, Robert editor.</t>
        </is>
      </c>
      <c r="L1214" t="inlineStr">
        <is>
          <t>New York : Springer Pub. Co., [1964]</t>
        </is>
      </c>
      <c r="M1214" t="inlineStr">
        <is>
          <t>1964</t>
        </is>
      </c>
      <c r="O1214" t="inlineStr">
        <is>
          <t>eng</t>
        </is>
      </c>
      <c r="P1214" t="inlineStr">
        <is>
          <t>nyu</t>
        </is>
      </c>
      <c r="R1214" t="inlineStr">
        <is>
          <t xml:space="preserve">BF </t>
        </is>
      </c>
      <c r="S1214" t="n">
        <v>2</v>
      </c>
      <c r="T1214" t="n">
        <v>2</v>
      </c>
      <c r="U1214" t="inlineStr">
        <is>
          <t>2000-09-05</t>
        </is>
      </c>
      <c r="V1214" t="inlineStr">
        <is>
          <t>2000-09-05</t>
        </is>
      </c>
      <c r="W1214" t="inlineStr">
        <is>
          <t>1990-10-01</t>
        </is>
      </c>
      <c r="X1214" t="inlineStr">
        <is>
          <t>1990-10-01</t>
        </is>
      </c>
      <c r="Y1214" t="n">
        <v>516</v>
      </c>
      <c r="Z1214" t="n">
        <v>470</v>
      </c>
      <c r="AA1214" t="n">
        <v>528</v>
      </c>
      <c r="AB1214" t="n">
        <v>3</v>
      </c>
      <c r="AC1214" t="n">
        <v>3</v>
      </c>
      <c r="AD1214" t="n">
        <v>23</v>
      </c>
      <c r="AE1214" t="n">
        <v>23</v>
      </c>
      <c r="AF1214" t="n">
        <v>6</v>
      </c>
      <c r="AG1214" t="n">
        <v>6</v>
      </c>
      <c r="AH1214" t="n">
        <v>4</v>
      </c>
      <c r="AI1214" t="n">
        <v>4</v>
      </c>
      <c r="AJ1214" t="n">
        <v>12</v>
      </c>
      <c r="AK1214" t="n">
        <v>12</v>
      </c>
      <c r="AL1214" t="n">
        <v>2</v>
      </c>
      <c r="AM1214" t="n">
        <v>2</v>
      </c>
      <c r="AN1214" t="n">
        <v>0</v>
      </c>
      <c r="AO1214" t="n">
        <v>0</v>
      </c>
      <c r="AP1214" t="inlineStr">
        <is>
          <t>No</t>
        </is>
      </c>
      <c r="AQ1214" t="inlineStr">
        <is>
          <t>Yes</t>
        </is>
      </c>
      <c r="AR1214">
        <f>HYPERLINK("http://catalog.hathitrust.org/Record/000430189","HathiTrust Record")</f>
        <v/>
      </c>
      <c r="AS1214">
        <f>HYPERLINK("https://creighton-primo.hosted.exlibrisgroup.com/primo-explore/search?tab=default_tab&amp;search_scope=EVERYTHING&amp;vid=01CRU&amp;lang=en_US&amp;offset=0&amp;query=any,contains,991001914229702656","Catalog Record")</f>
        <v/>
      </c>
      <c r="AT1214">
        <f>HYPERLINK("http://www.worldcat.org/oclc/243277","WorldCat Record")</f>
        <v/>
      </c>
      <c r="AU1214" t="inlineStr">
        <is>
          <t>1392371:eng</t>
        </is>
      </c>
      <c r="AV1214" t="inlineStr">
        <is>
          <t>243277</t>
        </is>
      </c>
      <c r="AW1214" t="inlineStr">
        <is>
          <t>991001914229702656</t>
        </is>
      </c>
      <c r="AX1214" t="inlineStr">
        <is>
          <t>991001914229702656</t>
        </is>
      </c>
      <c r="AY1214" t="inlineStr">
        <is>
          <t>2270710770002656</t>
        </is>
      </c>
      <c r="AZ1214" t="inlineStr">
        <is>
          <t>BOOK</t>
        </is>
      </c>
      <c r="BC1214" t="inlineStr">
        <is>
          <t>32285000322866</t>
        </is>
      </c>
      <c r="BD1214" t="inlineStr">
        <is>
          <t>893232370</t>
        </is>
      </c>
    </row>
    <row r="1215">
      <c r="A1215" t="inlineStr">
        <is>
          <t>No</t>
        </is>
      </c>
      <c r="B1215" t="inlineStr">
        <is>
          <t>BF724.8 .M94 1984</t>
        </is>
      </c>
      <c r="C1215" t="inlineStr">
        <is>
          <t>0                      BF 0724800M  94          1984</t>
        </is>
      </c>
      <c r="D1215" t="inlineStr">
        <is>
          <t>Counseling older persons / Jane E. Myers.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K1215" t="inlineStr">
        <is>
          <t>Myers, Jane E.</t>
        </is>
      </c>
      <c r="L1215" t="inlineStr">
        <is>
          <t>Ann Arbor, Mich. : ERIC Counseling and Personnel Services Clearinghouse, 1984.</t>
        </is>
      </c>
      <c r="M1215" t="inlineStr">
        <is>
          <t>1984</t>
        </is>
      </c>
      <c r="O1215" t="inlineStr">
        <is>
          <t>eng</t>
        </is>
      </c>
      <c r="P1215" t="inlineStr">
        <is>
          <t>miu</t>
        </is>
      </c>
      <c r="Q1215" t="inlineStr">
        <is>
          <t>Searchlight plus: relevant resources in high interest areas ; 58+</t>
        </is>
      </c>
      <c r="R1215" t="inlineStr">
        <is>
          <t xml:space="preserve">BF </t>
        </is>
      </c>
      <c r="S1215" t="n">
        <v>2</v>
      </c>
      <c r="T1215" t="n">
        <v>2</v>
      </c>
      <c r="U1215" t="inlineStr">
        <is>
          <t>1997-06-28</t>
        </is>
      </c>
      <c r="V1215" t="inlineStr">
        <is>
          <t>1997-06-28</t>
        </is>
      </c>
      <c r="W1215" t="inlineStr">
        <is>
          <t>1992-09-30</t>
        </is>
      </c>
      <c r="X1215" t="inlineStr">
        <is>
          <t>1992-09-30</t>
        </is>
      </c>
      <c r="Y1215" t="n">
        <v>54</v>
      </c>
      <c r="Z1215" t="n">
        <v>54</v>
      </c>
      <c r="AA1215" t="n">
        <v>126</v>
      </c>
      <c r="AB1215" t="n">
        <v>1</v>
      </c>
      <c r="AC1215" t="n">
        <v>1</v>
      </c>
      <c r="AD1215" t="n">
        <v>1</v>
      </c>
      <c r="AE1215" t="n">
        <v>3</v>
      </c>
      <c r="AF1215" t="n">
        <v>0</v>
      </c>
      <c r="AG1215" t="n">
        <v>0</v>
      </c>
      <c r="AH1215" t="n">
        <v>1</v>
      </c>
      <c r="AI1215" t="n">
        <v>2</v>
      </c>
      <c r="AJ1215" t="n">
        <v>1</v>
      </c>
      <c r="AK1215" t="n">
        <v>2</v>
      </c>
      <c r="AL1215" t="n">
        <v>0</v>
      </c>
      <c r="AM1215" t="n">
        <v>0</v>
      </c>
      <c r="AN1215" t="n">
        <v>0</v>
      </c>
      <c r="AO1215" t="n">
        <v>0</v>
      </c>
      <c r="AP1215" t="inlineStr">
        <is>
          <t>No</t>
        </is>
      </c>
      <c r="AQ1215" t="inlineStr">
        <is>
          <t>No</t>
        </is>
      </c>
      <c r="AS1215">
        <f>HYPERLINK("https://creighton-primo.hosted.exlibrisgroup.com/primo-explore/search?tab=default_tab&amp;search_scope=EVERYTHING&amp;vid=01CRU&amp;lang=en_US&amp;offset=0&amp;query=any,contains,991000802159702656","Catalog Record")</f>
        <v/>
      </c>
      <c r="AT1215">
        <f>HYPERLINK("http://www.worldcat.org/oclc/14641843","WorldCat Record")</f>
        <v/>
      </c>
      <c r="AU1215" t="inlineStr">
        <is>
          <t>6930321:eng</t>
        </is>
      </c>
      <c r="AV1215" t="inlineStr">
        <is>
          <t>14641843</t>
        </is>
      </c>
      <c r="AW1215" t="inlineStr">
        <is>
          <t>991000802159702656</t>
        </is>
      </c>
      <c r="AX1215" t="inlineStr">
        <is>
          <t>991000802159702656</t>
        </is>
      </c>
      <c r="AY1215" t="inlineStr">
        <is>
          <t>2268555420002656</t>
        </is>
      </c>
      <c r="AZ1215" t="inlineStr">
        <is>
          <t>BOOK</t>
        </is>
      </c>
      <c r="BC1215" t="inlineStr">
        <is>
          <t>32285001337244</t>
        </is>
      </c>
      <c r="BD1215" t="inlineStr">
        <is>
          <t>893438612</t>
        </is>
      </c>
    </row>
    <row r="1216">
      <c r="A1216" t="inlineStr">
        <is>
          <t>No</t>
        </is>
      </c>
      <c r="B1216" t="inlineStr">
        <is>
          <t>BF724.8 .S5</t>
        </is>
      </c>
      <c r="C1216" t="inlineStr">
        <is>
          <t>0                      BF 0724800S  5</t>
        </is>
      </c>
      <c r="D1216" t="inlineStr">
        <is>
          <t>Counseling older persons : careers, retirement, dying / Daniel Sinick.</t>
        </is>
      </c>
      <c r="F1216" t="inlineStr">
        <is>
          <t>No</t>
        </is>
      </c>
      <c r="G1216" t="inlineStr">
        <is>
          <t>1</t>
        </is>
      </c>
      <c r="H1216" t="inlineStr">
        <is>
          <t>Yes</t>
        </is>
      </c>
      <c r="I1216" t="inlineStr">
        <is>
          <t>No</t>
        </is>
      </c>
      <c r="J1216" t="inlineStr">
        <is>
          <t>0</t>
        </is>
      </c>
      <c r="K1216" t="inlineStr">
        <is>
          <t>Sinick, Daniel.</t>
        </is>
      </c>
      <c r="L1216" t="inlineStr">
        <is>
          <t>New York : Human Sciences Press, c1977.</t>
        </is>
      </c>
      <c r="M1216" t="inlineStr">
        <is>
          <t>1977</t>
        </is>
      </c>
      <c r="O1216" t="inlineStr">
        <is>
          <t>eng</t>
        </is>
      </c>
      <c r="P1216" t="inlineStr">
        <is>
          <t>nyu</t>
        </is>
      </c>
      <c r="Q1216" t="inlineStr">
        <is>
          <t>New vistas in counseling series ; v. 4</t>
        </is>
      </c>
      <c r="R1216" t="inlineStr">
        <is>
          <t xml:space="preserve">BF </t>
        </is>
      </c>
      <c r="S1216" t="n">
        <v>2</v>
      </c>
      <c r="T1216" t="n">
        <v>2</v>
      </c>
      <c r="U1216" t="inlineStr">
        <is>
          <t>1997-06-28</t>
        </is>
      </c>
      <c r="V1216" t="inlineStr">
        <is>
          <t>1997-06-28</t>
        </is>
      </c>
      <c r="W1216" t="inlineStr">
        <is>
          <t>1996-08-07</t>
        </is>
      </c>
      <c r="X1216" t="inlineStr">
        <is>
          <t>1996-08-07</t>
        </is>
      </c>
      <c r="Y1216" t="n">
        <v>573</v>
      </c>
      <c r="Z1216" t="n">
        <v>492</v>
      </c>
      <c r="AA1216" t="n">
        <v>500</v>
      </c>
      <c r="AB1216" t="n">
        <v>6</v>
      </c>
      <c r="AC1216" t="n">
        <v>6</v>
      </c>
      <c r="AD1216" t="n">
        <v>22</v>
      </c>
      <c r="AE1216" t="n">
        <v>22</v>
      </c>
      <c r="AF1216" t="n">
        <v>12</v>
      </c>
      <c r="AG1216" t="n">
        <v>12</v>
      </c>
      <c r="AH1216" t="n">
        <v>2</v>
      </c>
      <c r="AI1216" t="n">
        <v>2</v>
      </c>
      <c r="AJ1216" t="n">
        <v>11</v>
      </c>
      <c r="AK1216" t="n">
        <v>11</v>
      </c>
      <c r="AL1216" t="n">
        <v>4</v>
      </c>
      <c r="AM1216" t="n">
        <v>4</v>
      </c>
      <c r="AN1216" t="n">
        <v>0</v>
      </c>
      <c r="AO1216" t="n">
        <v>0</v>
      </c>
      <c r="AP1216" t="inlineStr">
        <is>
          <t>No</t>
        </is>
      </c>
      <c r="AQ1216" t="inlineStr">
        <is>
          <t>Yes</t>
        </is>
      </c>
      <c r="AR1216">
        <f>HYPERLINK("http://catalog.hathitrust.org/Record/000293697","HathiTrust Record")</f>
        <v/>
      </c>
      <c r="AS1216">
        <f>HYPERLINK("https://creighton-primo.hosted.exlibrisgroup.com/primo-explore/search?tab=default_tab&amp;search_scope=EVERYTHING&amp;vid=01CRU&amp;lang=en_US&amp;offset=0&amp;query=any,contains,991001772249702656","Catalog Record")</f>
        <v/>
      </c>
      <c r="AT1216">
        <f>HYPERLINK("http://www.worldcat.org/oclc/3168772","WorldCat Record")</f>
        <v/>
      </c>
      <c r="AU1216" t="inlineStr">
        <is>
          <t>308552104:eng</t>
        </is>
      </c>
      <c r="AV1216" t="inlineStr">
        <is>
          <t>3168772</t>
        </is>
      </c>
      <c r="AW1216" t="inlineStr">
        <is>
          <t>991001772249702656</t>
        </is>
      </c>
      <c r="AX1216" t="inlineStr">
        <is>
          <t>991001772249702656</t>
        </is>
      </c>
      <c r="AY1216" t="inlineStr">
        <is>
          <t>2260860150002656</t>
        </is>
      </c>
      <c r="AZ1216" t="inlineStr">
        <is>
          <t>BOOK</t>
        </is>
      </c>
      <c r="BB1216" t="inlineStr">
        <is>
          <t>9780877053125</t>
        </is>
      </c>
      <c r="BC1216" t="inlineStr">
        <is>
          <t>32285002257227</t>
        </is>
      </c>
      <c r="BD1216" t="inlineStr">
        <is>
          <t>893785380</t>
        </is>
      </c>
    </row>
    <row r="1217">
      <c r="A1217" t="inlineStr">
        <is>
          <t>No</t>
        </is>
      </c>
      <c r="B1217" t="inlineStr">
        <is>
          <t>BF724.8 .W5</t>
        </is>
      </c>
      <c r="C1217" t="inlineStr">
        <is>
          <t>0                      BF 0724800W  5</t>
        </is>
      </c>
      <c r="D1217" t="inlineStr">
        <is>
          <t>Lives through the years; styles of life and successful aging [by] Richard H. Williams [and] Claudine G. Wirths. Foreword by Talcott Parsons.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K1217" t="inlineStr">
        <is>
          <t>Williams, Richard Hays, 1912-1988.</t>
        </is>
      </c>
      <c r="L1217" t="inlineStr">
        <is>
          <t>New York, Atherton Press, 1965.</t>
        </is>
      </c>
      <c r="M1217" t="inlineStr">
        <is>
          <t>1965</t>
        </is>
      </c>
      <c r="N1217" t="inlineStr">
        <is>
          <t>[1st ed.]</t>
        </is>
      </c>
      <c r="O1217" t="inlineStr">
        <is>
          <t>eng</t>
        </is>
      </c>
      <c r="P1217" t="inlineStr">
        <is>
          <t>nyu</t>
        </is>
      </c>
      <c r="R1217" t="inlineStr">
        <is>
          <t xml:space="preserve">BF </t>
        </is>
      </c>
      <c r="S1217" t="n">
        <v>1</v>
      </c>
      <c r="T1217" t="n">
        <v>1</v>
      </c>
      <c r="U1217" t="inlineStr">
        <is>
          <t>2000-10-11</t>
        </is>
      </c>
      <c r="V1217" t="inlineStr">
        <is>
          <t>2000-10-11</t>
        </is>
      </c>
      <c r="W1217" t="inlineStr">
        <is>
          <t>1996-08-07</t>
        </is>
      </c>
      <c r="X1217" t="inlineStr">
        <is>
          <t>1996-08-07</t>
        </is>
      </c>
      <c r="Y1217" t="n">
        <v>550</v>
      </c>
      <c r="Z1217" t="n">
        <v>499</v>
      </c>
      <c r="AA1217" t="n">
        <v>572</v>
      </c>
      <c r="AB1217" t="n">
        <v>4</v>
      </c>
      <c r="AC1217" t="n">
        <v>5</v>
      </c>
      <c r="AD1217" t="n">
        <v>25</v>
      </c>
      <c r="AE1217" t="n">
        <v>26</v>
      </c>
      <c r="AF1217" t="n">
        <v>10</v>
      </c>
      <c r="AG1217" t="n">
        <v>10</v>
      </c>
      <c r="AH1217" t="n">
        <v>3</v>
      </c>
      <c r="AI1217" t="n">
        <v>3</v>
      </c>
      <c r="AJ1217" t="n">
        <v>10</v>
      </c>
      <c r="AK1217" t="n">
        <v>10</v>
      </c>
      <c r="AL1217" t="n">
        <v>3</v>
      </c>
      <c r="AM1217" t="n">
        <v>4</v>
      </c>
      <c r="AN1217" t="n">
        <v>1</v>
      </c>
      <c r="AO1217" t="n">
        <v>1</v>
      </c>
      <c r="AP1217" t="inlineStr">
        <is>
          <t>No</t>
        </is>
      </c>
      <c r="AQ1217" t="inlineStr">
        <is>
          <t>Yes</t>
        </is>
      </c>
      <c r="AR1217">
        <f>HYPERLINK("http://catalog.hathitrust.org/Record/000472308","HathiTrust Record")</f>
        <v/>
      </c>
      <c r="AS1217">
        <f>HYPERLINK("https://creighton-primo.hosted.exlibrisgroup.com/primo-explore/search?tab=default_tab&amp;search_scope=EVERYTHING&amp;vid=01CRU&amp;lang=en_US&amp;offset=0&amp;query=any,contains,991001374539702656","Catalog Record")</f>
        <v/>
      </c>
      <c r="AT1217">
        <f>HYPERLINK("http://www.worldcat.org/oclc/224583","WorldCat Record")</f>
        <v/>
      </c>
      <c r="AU1217" t="inlineStr">
        <is>
          <t>321787488:eng</t>
        </is>
      </c>
      <c r="AV1217" t="inlineStr">
        <is>
          <t>224583</t>
        </is>
      </c>
      <c r="AW1217" t="inlineStr">
        <is>
          <t>991001374539702656</t>
        </is>
      </c>
      <c r="AX1217" t="inlineStr">
        <is>
          <t>991001374539702656</t>
        </is>
      </c>
      <c r="AY1217" t="inlineStr">
        <is>
          <t>2264285350002656</t>
        </is>
      </c>
      <c r="AZ1217" t="inlineStr">
        <is>
          <t>BOOK</t>
        </is>
      </c>
      <c r="BC1217" t="inlineStr">
        <is>
          <t>32285002257235</t>
        </is>
      </c>
      <c r="BD1217" t="inlineStr">
        <is>
          <t>893709209</t>
        </is>
      </c>
    </row>
    <row r="1218">
      <c r="A1218" t="inlineStr">
        <is>
          <t>No</t>
        </is>
      </c>
      <c r="B1218" t="inlineStr">
        <is>
          <t>BF724.85.C66 P78 1989</t>
        </is>
      </c>
      <c r="C1218" t="inlineStr">
        <is>
          <t>0                      BF 0724850C  66                 P  78          1989</t>
        </is>
      </c>
      <c r="D1218" t="inlineStr">
        <is>
          <t>Psychological perspectives of helplessness and control in the elderly / edited by Prem S. Fry.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L1218" t="inlineStr">
        <is>
          <t>Amsterdam ; New York : North-Holland ; New York, N.Y., U.S.A. : Sole distributors for the U.S.A. and Canada, Elsevier Science Pub. Co., 1989.</t>
        </is>
      </c>
      <c r="M1218" t="inlineStr">
        <is>
          <t>1989</t>
        </is>
      </c>
      <c r="O1218" t="inlineStr">
        <is>
          <t>eng</t>
        </is>
      </c>
      <c r="P1218" t="inlineStr">
        <is>
          <t xml:space="preserve">ne </t>
        </is>
      </c>
      <c r="Q1218" t="inlineStr">
        <is>
          <t>Advances in psychology ; 57</t>
        </is>
      </c>
      <c r="R1218" t="inlineStr">
        <is>
          <t xml:space="preserve">BF </t>
        </is>
      </c>
      <c r="S1218" t="n">
        <v>2</v>
      </c>
      <c r="T1218" t="n">
        <v>2</v>
      </c>
      <c r="U1218" t="inlineStr">
        <is>
          <t>1996-02-07</t>
        </is>
      </c>
      <c r="V1218" t="inlineStr">
        <is>
          <t>1996-02-07</t>
        </is>
      </c>
      <c r="W1218" t="inlineStr">
        <is>
          <t>1991-07-25</t>
        </is>
      </c>
      <c r="X1218" t="inlineStr">
        <is>
          <t>1991-07-25</t>
        </is>
      </c>
      <c r="Y1218" t="n">
        <v>228</v>
      </c>
      <c r="Z1218" t="n">
        <v>134</v>
      </c>
      <c r="AA1218" t="n">
        <v>180</v>
      </c>
      <c r="AB1218" t="n">
        <v>2</v>
      </c>
      <c r="AC1218" t="n">
        <v>2</v>
      </c>
      <c r="AD1218" t="n">
        <v>6</v>
      </c>
      <c r="AE1218" t="n">
        <v>8</v>
      </c>
      <c r="AF1218" t="n">
        <v>1</v>
      </c>
      <c r="AG1218" t="n">
        <v>2</v>
      </c>
      <c r="AH1218" t="n">
        <v>2</v>
      </c>
      <c r="AI1218" t="n">
        <v>3</v>
      </c>
      <c r="AJ1218" t="n">
        <v>4</v>
      </c>
      <c r="AK1218" t="n">
        <v>4</v>
      </c>
      <c r="AL1218" t="n">
        <v>1</v>
      </c>
      <c r="AM1218" t="n">
        <v>1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No</t>
        </is>
      </c>
      <c r="AS1218">
        <f>HYPERLINK("https://creighton-primo.hosted.exlibrisgroup.com/primo-explore/search?tab=default_tab&amp;search_scope=EVERYTHING&amp;vid=01CRU&amp;lang=en_US&amp;offset=0&amp;query=any,contains,991001362609702656","Catalog Record")</f>
        <v/>
      </c>
      <c r="AT1218">
        <f>HYPERLINK("http://www.worldcat.org/oclc/18523143","WorldCat Record")</f>
        <v/>
      </c>
      <c r="AU1218" t="inlineStr">
        <is>
          <t>1011503858:eng</t>
        </is>
      </c>
      <c r="AV1218" t="inlineStr">
        <is>
          <t>18523143</t>
        </is>
      </c>
      <c r="AW1218" t="inlineStr">
        <is>
          <t>991001362609702656</t>
        </is>
      </c>
      <c r="AX1218" t="inlineStr">
        <is>
          <t>991001362609702656</t>
        </is>
      </c>
      <c r="AY1218" t="inlineStr">
        <is>
          <t>2269365450002656</t>
        </is>
      </c>
      <c r="AZ1218" t="inlineStr">
        <is>
          <t>BOOK</t>
        </is>
      </c>
      <c r="BB1218" t="inlineStr">
        <is>
          <t>9780444705464</t>
        </is>
      </c>
      <c r="BC1218" t="inlineStr">
        <is>
          <t>32285000662980</t>
        </is>
      </c>
      <c r="BD1218" t="inlineStr">
        <is>
          <t>893690556</t>
        </is>
      </c>
    </row>
    <row r="1219">
      <c r="A1219" t="inlineStr">
        <is>
          <t>No</t>
        </is>
      </c>
      <c r="B1219" t="inlineStr">
        <is>
          <t>BF724.85.G73 O44 1989</t>
        </is>
      </c>
      <c r="C1219" t="inlineStr">
        <is>
          <t>0                      BF 0724850G  73                 O  44          1989</t>
        </is>
      </c>
      <c r="D1219" t="inlineStr">
        <is>
          <t>Older bereaved spouses : research with practical applications / edited by Dale A. Lund.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L1219" t="inlineStr">
        <is>
          <t>New York : Hemisphere Pub. Corp., c1989.</t>
        </is>
      </c>
      <c r="M1219" t="inlineStr">
        <is>
          <t>1989</t>
        </is>
      </c>
      <c r="O1219" t="inlineStr">
        <is>
          <t>eng</t>
        </is>
      </c>
      <c r="P1219" t="inlineStr">
        <is>
          <t>nyu</t>
        </is>
      </c>
      <c r="Q1219" t="inlineStr">
        <is>
          <t>Series in death education, aging, and health care, 0275-3510</t>
        </is>
      </c>
      <c r="R1219" t="inlineStr">
        <is>
          <t xml:space="preserve">BF </t>
        </is>
      </c>
      <c r="S1219" t="n">
        <v>6</v>
      </c>
      <c r="T1219" t="n">
        <v>6</v>
      </c>
      <c r="U1219" t="inlineStr">
        <is>
          <t>2005-04-23</t>
        </is>
      </c>
      <c r="V1219" t="inlineStr">
        <is>
          <t>2005-04-23</t>
        </is>
      </c>
      <c r="W1219" t="inlineStr">
        <is>
          <t>1991-04-30</t>
        </is>
      </c>
      <c r="X1219" t="inlineStr">
        <is>
          <t>1991-04-30</t>
        </is>
      </c>
      <c r="Y1219" t="n">
        <v>380</v>
      </c>
      <c r="Z1219" t="n">
        <v>290</v>
      </c>
      <c r="AA1219" t="n">
        <v>297</v>
      </c>
      <c r="AB1219" t="n">
        <v>4</v>
      </c>
      <c r="AC1219" t="n">
        <v>4</v>
      </c>
      <c r="AD1219" t="n">
        <v>10</v>
      </c>
      <c r="AE1219" t="n">
        <v>10</v>
      </c>
      <c r="AF1219" t="n">
        <v>2</v>
      </c>
      <c r="AG1219" t="n">
        <v>2</v>
      </c>
      <c r="AH1219" t="n">
        <v>1</v>
      </c>
      <c r="AI1219" t="n">
        <v>1</v>
      </c>
      <c r="AJ1219" t="n">
        <v>5</v>
      </c>
      <c r="AK1219" t="n">
        <v>5</v>
      </c>
      <c r="AL1219" t="n">
        <v>3</v>
      </c>
      <c r="AM1219" t="n">
        <v>3</v>
      </c>
      <c r="AN1219" t="n">
        <v>0</v>
      </c>
      <c r="AO1219" t="n">
        <v>0</v>
      </c>
      <c r="AP1219" t="inlineStr">
        <is>
          <t>No</t>
        </is>
      </c>
      <c r="AQ1219" t="inlineStr">
        <is>
          <t>Yes</t>
        </is>
      </c>
      <c r="AR1219">
        <f>HYPERLINK("http://catalog.hathitrust.org/Record/002528199","HathiTrust Record")</f>
        <v/>
      </c>
      <c r="AS1219">
        <f>HYPERLINK("https://creighton-primo.hosted.exlibrisgroup.com/primo-explore/search?tab=default_tab&amp;search_scope=EVERYTHING&amp;vid=01CRU&amp;lang=en_US&amp;offset=0&amp;query=any,contains,991001403309702656","Catalog Record")</f>
        <v/>
      </c>
      <c r="AT1219">
        <f>HYPERLINK("http://www.worldcat.org/oclc/18834016","WorldCat Record")</f>
        <v/>
      </c>
      <c r="AU1219" t="inlineStr">
        <is>
          <t>836752845:eng</t>
        </is>
      </c>
      <c r="AV1219" t="inlineStr">
        <is>
          <t>18834016</t>
        </is>
      </c>
      <c r="AW1219" t="inlineStr">
        <is>
          <t>991001403309702656</t>
        </is>
      </c>
      <c r="AX1219" t="inlineStr">
        <is>
          <t>991001403309702656</t>
        </is>
      </c>
      <c r="AY1219" t="inlineStr">
        <is>
          <t>2257613370002656</t>
        </is>
      </c>
      <c r="AZ1219" t="inlineStr">
        <is>
          <t>BOOK</t>
        </is>
      </c>
      <c r="BB1219" t="inlineStr">
        <is>
          <t>9780891168034</t>
        </is>
      </c>
      <c r="BC1219" t="inlineStr">
        <is>
          <t>32285000570035</t>
        </is>
      </c>
      <c r="BD1219" t="inlineStr">
        <is>
          <t>893608842</t>
        </is>
      </c>
    </row>
    <row r="1220">
      <c r="A1220" t="inlineStr">
        <is>
          <t>No</t>
        </is>
      </c>
      <c r="B1220" t="inlineStr">
        <is>
          <t>BF724.85.H86 H86 1986</t>
        </is>
      </c>
      <c r="C1220" t="inlineStr">
        <is>
          <t>0                      BF 0724850H  86                 H  86          1986</t>
        </is>
      </c>
      <c r="D1220" t="inlineStr">
        <is>
          <t>Humor and aging / edited by Lucille Nahemow, Kathleen A. McCluskey-Fawcett, Paul E. McGhee.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L1220" t="inlineStr">
        <is>
          <t>Orlando [Fla.] : Academic Press, 1986.</t>
        </is>
      </c>
      <c r="M1220" t="inlineStr">
        <is>
          <t>1986</t>
        </is>
      </c>
      <c r="O1220" t="inlineStr">
        <is>
          <t>eng</t>
        </is>
      </c>
      <c r="P1220" t="inlineStr">
        <is>
          <t>flu</t>
        </is>
      </c>
      <c r="R1220" t="inlineStr">
        <is>
          <t xml:space="preserve">BF </t>
        </is>
      </c>
      <c r="S1220" t="n">
        <v>4</v>
      </c>
      <c r="T1220" t="n">
        <v>4</v>
      </c>
      <c r="U1220" t="inlineStr">
        <is>
          <t>2003-04-11</t>
        </is>
      </c>
      <c r="V1220" t="inlineStr">
        <is>
          <t>2003-04-11</t>
        </is>
      </c>
      <c r="W1220" t="inlineStr">
        <is>
          <t>1993-04-12</t>
        </is>
      </c>
      <c r="X1220" t="inlineStr">
        <is>
          <t>1993-04-12</t>
        </is>
      </c>
      <c r="Y1220" t="n">
        <v>576</v>
      </c>
      <c r="Z1220" t="n">
        <v>477</v>
      </c>
      <c r="AA1220" t="n">
        <v>510</v>
      </c>
      <c r="AB1220" t="n">
        <v>4</v>
      </c>
      <c r="AC1220" t="n">
        <v>4</v>
      </c>
      <c r="AD1220" t="n">
        <v>20</v>
      </c>
      <c r="AE1220" t="n">
        <v>22</v>
      </c>
      <c r="AF1220" t="n">
        <v>6</v>
      </c>
      <c r="AG1220" t="n">
        <v>7</v>
      </c>
      <c r="AH1220" t="n">
        <v>5</v>
      </c>
      <c r="AI1220" t="n">
        <v>6</v>
      </c>
      <c r="AJ1220" t="n">
        <v>12</v>
      </c>
      <c r="AK1220" t="n">
        <v>12</v>
      </c>
      <c r="AL1220" t="n">
        <v>3</v>
      </c>
      <c r="AM1220" t="n">
        <v>3</v>
      </c>
      <c r="AN1220" t="n">
        <v>0</v>
      </c>
      <c r="AO1220" t="n">
        <v>0</v>
      </c>
      <c r="AP1220" t="inlineStr">
        <is>
          <t>No</t>
        </is>
      </c>
      <c r="AQ1220" t="inlineStr">
        <is>
          <t>Yes</t>
        </is>
      </c>
      <c r="AR1220">
        <f>HYPERLINK("http://catalog.hathitrust.org/Record/000477031","HathiTrust Record")</f>
        <v/>
      </c>
      <c r="AS1220">
        <f>HYPERLINK("https://creighton-primo.hosted.exlibrisgroup.com/primo-explore/search?tab=default_tab&amp;search_scope=EVERYTHING&amp;vid=01CRU&amp;lang=en_US&amp;offset=0&amp;query=any,contains,991005405209702656","Catalog Record")</f>
        <v/>
      </c>
      <c r="AT1220">
        <f>HYPERLINK("http://www.worldcat.org/oclc/11972007","WorldCat Record")</f>
        <v/>
      </c>
      <c r="AU1220" t="inlineStr">
        <is>
          <t>355751718:eng</t>
        </is>
      </c>
      <c r="AV1220" t="inlineStr">
        <is>
          <t>11972007</t>
        </is>
      </c>
      <c r="AW1220" t="inlineStr">
        <is>
          <t>991005405209702656</t>
        </is>
      </c>
      <c r="AX1220" t="inlineStr">
        <is>
          <t>991005405209702656</t>
        </is>
      </c>
      <c r="AY1220" t="inlineStr">
        <is>
          <t>2255652050002656</t>
        </is>
      </c>
      <c r="AZ1220" t="inlineStr">
        <is>
          <t>BOOK</t>
        </is>
      </c>
      <c r="BB1220" t="inlineStr">
        <is>
          <t>9780125137904</t>
        </is>
      </c>
      <c r="BC1220" t="inlineStr">
        <is>
          <t>32285001616233</t>
        </is>
      </c>
      <c r="BD1220" t="inlineStr">
        <is>
          <t>893412846</t>
        </is>
      </c>
    </row>
    <row r="1221">
      <c r="A1221" t="inlineStr">
        <is>
          <t>No</t>
        </is>
      </c>
      <c r="B1221" t="inlineStr">
        <is>
          <t>BF724.85.M45 L36 1988</t>
        </is>
      </c>
      <c r="C1221" t="inlineStr">
        <is>
          <t>0                      BF 0724850M  45                 L  36          1988</t>
        </is>
      </c>
      <c r="D1221" t="inlineStr">
        <is>
          <t>Language, memory, and aging / edited by Leah L. Light and Deborah M. Burke.</t>
        </is>
      </c>
      <c r="F1221" t="inlineStr">
        <is>
          <t>No</t>
        </is>
      </c>
      <c r="G1221" t="inlineStr">
        <is>
          <t>1</t>
        </is>
      </c>
      <c r="H1221" t="inlineStr">
        <is>
          <t>No</t>
        </is>
      </c>
      <c r="I1221" t="inlineStr">
        <is>
          <t>No</t>
        </is>
      </c>
      <c r="J1221" t="inlineStr">
        <is>
          <t>0</t>
        </is>
      </c>
      <c r="L1221" t="inlineStr">
        <is>
          <t>New York : Cambridge University Press, 1988.</t>
        </is>
      </c>
      <c r="M1221" t="inlineStr">
        <is>
          <t>1988</t>
        </is>
      </c>
      <c r="O1221" t="inlineStr">
        <is>
          <t>eng</t>
        </is>
      </c>
      <c r="P1221" t="inlineStr">
        <is>
          <t>nyu</t>
        </is>
      </c>
      <c r="R1221" t="inlineStr">
        <is>
          <t xml:space="preserve">BF </t>
        </is>
      </c>
      <c r="S1221" t="n">
        <v>13</v>
      </c>
      <c r="T1221" t="n">
        <v>13</v>
      </c>
      <c r="U1221" t="inlineStr">
        <is>
          <t>2004-02-17</t>
        </is>
      </c>
      <c r="V1221" t="inlineStr">
        <is>
          <t>2004-02-17</t>
        </is>
      </c>
      <c r="W1221" t="inlineStr">
        <is>
          <t>1991-02-08</t>
        </is>
      </c>
      <c r="X1221" t="inlineStr">
        <is>
          <t>1991-02-08</t>
        </is>
      </c>
      <c r="Y1221" t="n">
        <v>751</v>
      </c>
      <c r="Z1221" t="n">
        <v>568</v>
      </c>
      <c r="AA1221" t="n">
        <v>598</v>
      </c>
      <c r="AB1221" t="n">
        <v>6</v>
      </c>
      <c r="AC1221" t="n">
        <v>6</v>
      </c>
      <c r="AD1221" t="n">
        <v>29</v>
      </c>
      <c r="AE1221" t="n">
        <v>30</v>
      </c>
      <c r="AF1221" t="n">
        <v>9</v>
      </c>
      <c r="AG1221" t="n">
        <v>9</v>
      </c>
      <c r="AH1221" t="n">
        <v>5</v>
      </c>
      <c r="AI1221" t="n">
        <v>6</v>
      </c>
      <c r="AJ1221" t="n">
        <v>18</v>
      </c>
      <c r="AK1221" t="n">
        <v>18</v>
      </c>
      <c r="AL1221" t="n">
        <v>5</v>
      </c>
      <c r="AM1221" t="n">
        <v>5</v>
      </c>
      <c r="AN1221" t="n">
        <v>0</v>
      </c>
      <c r="AO1221" t="n">
        <v>0</v>
      </c>
      <c r="AP1221" t="inlineStr">
        <is>
          <t>No</t>
        </is>
      </c>
      <c r="AQ1221" t="inlineStr">
        <is>
          <t>No</t>
        </is>
      </c>
      <c r="AS1221">
        <f>HYPERLINK("https://creighton-primo.hosted.exlibrisgroup.com/primo-explore/search?tab=default_tab&amp;search_scope=EVERYTHING&amp;vid=01CRU&amp;lang=en_US&amp;offset=0&amp;query=any,contains,991001217269702656","Catalog Record")</f>
        <v/>
      </c>
      <c r="AT1221">
        <f>HYPERLINK("http://www.worldcat.org/oclc/17439482","WorldCat Record")</f>
        <v/>
      </c>
      <c r="AU1221" t="inlineStr">
        <is>
          <t>350235427:eng</t>
        </is>
      </c>
      <c r="AV1221" t="inlineStr">
        <is>
          <t>17439482</t>
        </is>
      </c>
      <c r="AW1221" t="inlineStr">
        <is>
          <t>991001217269702656</t>
        </is>
      </c>
      <c r="AX1221" t="inlineStr">
        <is>
          <t>991001217269702656</t>
        </is>
      </c>
      <c r="AY1221" t="inlineStr">
        <is>
          <t>2265787260002656</t>
        </is>
      </c>
      <c r="AZ1221" t="inlineStr">
        <is>
          <t>BOOK</t>
        </is>
      </c>
      <c r="BB1221" t="inlineStr">
        <is>
          <t>9780521329422</t>
        </is>
      </c>
      <c r="BC1221" t="inlineStr">
        <is>
          <t>32285000463280</t>
        </is>
      </c>
      <c r="BD1221" t="inlineStr">
        <is>
          <t>893808998</t>
        </is>
      </c>
    </row>
    <row r="1222">
      <c r="A1222" t="inlineStr">
        <is>
          <t>No</t>
        </is>
      </c>
      <c r="B1222" t="inlineStr">
        <is>
          <t>BF724.85.P47 P47</t>
        </is>
      </c>
      <c r="C1222" t="inlineStr">
        <is>
          <t>0                      BF 0724850P  47                 P  47</t>
        </is>
      </c>
      <c r="D1222" t="inlineStr">
        <is>
          <t>Personality and adjustment in the aged / [by] R. D. Savage ... [et al.].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L1222" t="inlineStr">
        <is>
          <t>London ; New York : Academic Press, 1977.</t>
        </is>
      </c>
      <c r="M1222" t="inlineStr">
        <is>
          <t>1977</t>
        </is>
      </c>
      <c r="O1222" t="inlineStr">
        <is>
          <t>eng</t>
        </is>
      </c>
      <c r="P1222" t="inlineStr">
        <is>
          <t>enk</t>
        </is>
      </c>
      <c r="R1222" t="inlineStr">
        <is>
          <t xml:space="preserve">BF </t>
        </is>
      </c>
      <c r="S1222" t="n">
        <v>1</v>
      </c>
      <c r="T1222" t="n">
        <v>1</v>
      </c>
      <c r="U1222" t="inlineStr">
        <is>
          <t>2001-06-09</t>
        </is>
      </c>
      <c r="V1222" t="inlineStr">
        <is>
          <t>2001-06-09</t>
        </is>
      </c>
      <c r="W1222" t="inlineStr">
        <is>
          <t>1993-04-12</t>
        </is>
      </c>
      <c r="X1222" t="inlineStr">
        <is>
          <t>1993-04-12</t>
        </is>
      </c>
      <c r="Y1222" t="n">
        <v>424</v>
      </c>
      <c r="Z1222" t="n">
        <v>298</v>
      </c>
      <c r="AA1222" t="n">
        <v>305</v>
      </c>
      <c r="AB1222" t="n">
        <v>2</v>
      </c>
      <c r="AC1222" t="n">
        <v>2</v>
      </c>
      <c r="AD1222" t="n">
        <v>12</v>
      </c>
      <c r="AE1222" t="n">
        <v>12</v>
      </c>
      <c r="AF1222" t="n">
        <v>3</v>
      </c>
      <c r="AG1222" t="n">
        <v>3</v>
      </c>
      <c r="AH1222" t="n">
        <v>2</v>
      </c>
      <c r="AI1222" t="n">
        <v>2</v>
      </c>
      <c r="AJ1222" t="n">
        <v>7</v>
      </c>
      <c r="AK1222" t="n">
        <v>7</v>
      </c>
      <c r="AL1222" t="n">
        <v>1</v>
      </c>
      <c r="AM1222" t="n">
        <v>1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Yes</t>
        </is>
      </c>
      <c r="AR1222">
        <f>HYPERLINK("http://catalog.hathitrust.org/Record/000226986","HathiTrust Record")</f>
        <v/>
      </c>
      <c r="AS1222">
        <f>HYPERLINK("https://creighton-primo.hosted.exlibrisgroup.com/primo-explore/search?tab=default_tab&amp;search_scope=EVERYTHING&amp;vid=01CRU&amp;lang=en_US&amp;offset=0&amp;query=any,contains,991004509989702656","Catalog Record")</f>
        <v/>
      </c>
      <c r="AT1222">
        <f>HYPERLINK("http://www.worldcat.org/oclc/3757504","WorldCat Record")</f>
        <v/>
      </c>
      <c r="AU1222" t="inlineStr">
        <is>
          <t>11855540:eng</t>
        </is>
      </c>
      <c r="AV1222" t="inlineStr">
        <is>
          <t>3757504</t>
        </is>
      </c>
      <c r="AW1222" t="inlineStr">
        <is>
          <t>991004509989702656</t>
        </is>
      </c>
      <c r="AX1222" t="inlineStr">
        <is>
          <t>991004509989702656</t>
        </is>
      </c>
      <c r="AY1222" t="inlineStr">
        <is>
          <t>2270006030002656</t>
        </is>
      </c>
      <c r="AZ1222" t="inlineStr">
        <is>
          <t>BOOK</t>
        </is>
      </c>
      <c r="BB1222" t="inlineStr">
        <is>
          <t>9780126195507</t>
        </is>
      </c>
      <c r="BC1222" t="inlineStr">
        <is>
          <t>32285001616241</t>
        </is>
      </c>
      <c r="BD1222" t="inlineStr">
        <is>
          <t>893343924</t>
        </is>
      </c>
    </row>
    <row r="1223">
      <c r="A1223" t="inlineStr">
        <is>
          <t>No</t>
        </is>
      </c>
      <c r="B1223" t="inlineStr">
        <is>
          <t>BF724.85.R45 C64 1986</t>
        </is>
      </c>
      <c r="C1223" t="inlineStr">
        <is>
          <t>0                      BF 0724850R  45                 C  64          1986</t>
        </is>
      </c>
      <c r="D1223" t="inlineStr">
        <is>
          <t>Ageing and reminiscence processes : social and clinical implications / Peter G. Coleman.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K1223" t="inlineStr">
        <is>
          <t>Coleman, Peter G.</t>
        </is>
      </c>
      <c r="L1223" t="inlineStr">
        <is>
          <t>Chichester [West Sussex] ; New York : Wiley, c1986.</t>
        </is>
      </c>
      <c r="M1223" t="inlineStr">
        <is>
          <t>1986</t>
        </is>
      </c>
      <c r="O1223" t="inlineStr">
        <is>
          <t>eng</t>
        </is>
      </c>
      <c r="P1223" t="inlineStr">
        <is>
          <t>enk</t>
        </is>
      </c>
      <c r="R1223" t="inlineStr">
        <is>
          <t xml:space="preserve">BF </t>
        </is>
      </c>
      <c r="S1223" t="n">
        <v>5</v>
      </c>
      <c r="T1223" t="n">
        <v>5</v>
      </c>
      <c r="U1223" t="inlineStr">
        <is>
          <t>2000-05-30</t>
        </is>
      </c>
      <c r="V1223" t="inlineStr">
        <is>
          <t>2000-05-30</t>
        </is>
      </c>
      <c r="W1223" t="inlineStr">
        <is>
          <t>1992-05-12</t>
        </is>
      </c>
      <c r="X1223" t="inlineStr">
        <is>
          <t>1992-05-12</t>
        </is>
      </c>
      <c r="Y1223" t="n">
        <v>445</v>
      </c>
      <c r="Z1223" t="n">
        <v>302</v>
      </c>
      <c r="AA1223" t="n">
        <v>303</v>
      </c>
      <c r="AB1223" t="n">
        <v>4</v>
      </c>
      <c r="AC1223" t="n">
        <v>4</v>
      </c>
      <c r="AD1223" t="n">
        <v>16</v>
      </c>
      <c r="AE1223" t="n">
        <v>16</v>
      </c>
      <c r="AF1223" t="n">
        <v>6</v>
      </c>
      <c r="AG1223" t="n">
        <v>6</v>
      </c>
      <c r="AH1223" t="n">
        <v>3</v>
      </c>
      <c r="AI1223" t="n">
        <v>3</v>
      </c>
      <c r="AJ1223" t="n">
        <v>8</v>
      </c>
      <c r="AK1223" t="n">
        <v>8</v>
      </c>
      <c r="AL1223" t="n">
        <v>3</v>
      </c>
      <c r="AM1223" t="n">
        <v>3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Yes</t>
        </is>
      </c>
      <c r="AR1223">
        <f>HYPERLINK("http://catalog.hathitrust.org/Record/000813312","HathiTrust Record")</f>
        <v/>
      </c>
      <c r="AS1223">
        <f>HYPERLINK("https://creighton-primo.hosted.exlibrisgroup.com/primo-explore/search?tab=default_tab&amp;search_scope=EVERYTHING&amp;vid=01CRU&amp;lang=en_US&amp;offset=0&amp;query=any,contains,991005406749702656","Catalog Record")</f>
        <v/>
      </c>
      <c r="AT1223">
        <f>HYPERLINK("http://www.worldcat.org/oclc/13822907","WorldCat Record")</f>
        <v/>
      </c>
      <c r="AU1223" t="inlineStr">
        <is>
          <t>836657832:eng</t>
        </is>
      </c>
      <c r="AV1223" t="inlineStr">
        <is>
          <t>13822907</t>
        </is>
      </c>
      <c r="AW1223" t="inlineStr">
        <is>
          <t>991005406749702656</t>
        </is>
      </c>
      <c r="AX1223" t="inlineStr">
        <is>
          <t>991005406749702656</t>
        </is>
      </c>
      <c r="AY1223" t="inlineStr">
        <is>
          <t>2265327470002656</t>
        </is>
      </c>
      <c r="AZ1223" t="inlineStr">
        <is>
          <t>BOOK</t>
        </is>
      </c>
      <c r="BB1223" t="inlineStr">
        <is>
          <t>9780471910275</t>
        </is>
      </c>
      <c r="BC1223" t="inlineStr">
        <is>
          <t>32285001108611</t>
        </is>
      </c>
      <c r="BD1223" t="inlineStr">
        <is>
          <t>893789975</t>
        </is>
      </c>
    </row>
    <row r="1224">
      <c r="A1224" t="inlineStr">
        <is>
          <t>No</t>
        </is>
      </c>
      <c r="B1224" t="inlineStr">
        <is>
          <t>BF727.P57 M3 1969</t>
        </is>
      </c>
      <c r="C1224" t="inlineStr">
        <is>
          <t>0                      BF 0727000P  57                 M  3           1969</t>
        </is>
      </c>
      <c r="D1224" t="inlineStr">
        <is>
          <t>Physical disability and human behavior, by James W. McDaniel.</t>
        </is>
      </c>
      <c r="F1224" t="inlineStr">
        <is>
          <t>No</t>
        </is>
      </c>
      <c r="G1224" t="inlineStr">
        <is>
          <t>1</t>
        </is>
      </c>
      <c r="H1224" t="inlineStr">
        <is>
          <t>No</t>
        </is>
      </c>
      <c r="I1224" t="inlineStr">
        <is>
          <t>No</t>
        </is>
      </c>
      <c r="J1224" t="inlineStr">
        <is>
          <t>0</t>
        </is>
      </c>
      <c r="K1224" t="inlineStr">
        <is>
          <t>McDaniel, James W.</t>
        </is>
      </c>
      <c r="L1224" t="inlineStr">
        <is>
          <t>New York, Pergamon Press [1969]</t>
        </is>
      </c>
      <c r="M1224" t="inlineStr">
        <is>
          <t>1969</t>
        </is>
      </c>
      <c r="O1224" t="inlineStr">
        <is>
          <t>eng</t>
        </is>
      </c>
      <c r="P1224" t="inlineStr">
        <is>
          <t>nyu</t>
        </is>
      </c>
      <c r="Q1224" t="inlineStr">
        <is>
          <t>Pergamon general psychology series</t>
        </is>
      </c>
      <c r="R1224" t="inlineStr">
        <is>
          <t xml:space="preserve">BF </t>
        </is>
      </c>
      <c r="S1224" t="n">
        <v>1</v>
      </c>
      <c r="T1224" t="n">
        <v>1</v>
      </c>
      <c r="U1224" t="inlineStr">
        <is>
          <t>2001-07-31</t>
        </is>
      </c>
      <c r="V1224" t="inlineStr">
        <is>
          <t>2001-07-31</t>
        </is>
      </c>
      <c r="W1224" t="inlineStr">
        <is>
          <t>1996-08-07</t>
        </is>
      </c>
      <c r="X1224" t="inlineStr">
        <is>
          <t>1996-08-07</t>
        </is>
      </c>
      <c r="Y1224" t="n">
        <v>542</v>
      </c>
      <c r="Z1224" t="n">
        <v>441</v>
      </c>
      <c r="AA1224" t="n">
        <v>587</v>
      </c>
      <c r="AB1224" t="n">
        <v>5</v>
      </c>
      <c r="AC1224" t="n">
        <v>7</v>
      </c>
      <c r="AD1224" t="n">
        <v>24</v>
      </c>
      <c r="AE1224" t="n">
        <v>30</v>
      </c>
      <c r="AF1224" t="n">
        <v>9</v>
      </c>
      <c r="AG1224" t="n">
        <v>12</v>
      </c>
      <c r="AH1224" t="n">
        <v>5</v>
      </c>
      <c r="AI1224" t="n">
        <v>5</v>
      </c>
      <c r="AJ1224" t="n">
        <v>12</v>
      </c>
      <c r="AK1224" t="n">
        <v>13</v>
      </c>
      <c r="AL1224" t="n">
        <v>4</v>
      </c>
      <c r="AM1224" t="n">
        <v>6</v>
      </c>
      <c r="AN1224" t="n">
        <v>0</v>
      </c>
      <c r="AO1224" t="n">
        <v>0</v>
      </c>
      <c r="AP1224" t="inlineStr">
        <is>
          <t>No</t>
        </is>
      </c>
      <c r="AQ1224" t="inlineStr">
        <is>
          <t>Yes</t>
        </is>
      </c>
      <c r="AR1224">
        <f>HYPERLINK("http://catalog.hathitrust.org/Record/000431072","HathiTrust Record")</f>
        <v/>
      </c>
      <c r="AS1224">
        <f>HYPERLINK("https://creighton-primo.hosted.exlibrisgroup.com/primo-explore/search?tab=default_tab&amp;search_scope=EVERYTHING&amp;vid=01CRU&amp;lang=en_US&amp;offset=0&amp;query=any,contains,991000190569702656","Catalog Record")</f>
        <v/>
      </c>
      <c r="AT1224">
        <f>HYPERLINK("http://www.worldcat.org/oclc/64000","WorldCat Record")</f>
        <v/>
      </c>
      <c r="AU1224" t="inlineStr">
        <is>
          <t>1227751:eng</t>
        </is>
      </c>
      <c r="AV1224" t="inlineStr">
        <is>
          <t>64000</t>
        </is>
      </c>
      <c r="AW1224" t="inlineStr">
        <is>
          <t>991000190569702656</t>
        </is>
      </c>
      <c r="AX1224" t="inlineStr">
        <is>
          <t>991000190569702656</t>
        </is>
      </c>
      <c r="AY1224" t="inlineStr">
        <is>
          <t>2257140530002656</t>
        </is>
      </c>
      <c r="AZ1224" t="inlineStr">
        <is>
          <t>BOOK</t>
        </is>
      </c>
      <c r="BB1224" t="inlineStr">
        <is>
          <t>9780080068664</t>
        </is>
      </c>
      <c r="BC1224" t="inlineStr">
        <is>
          <t>32285002257458</t>
        </is>
      </c>
      <c r="BD1224" t="inlineStr">
        <is>
          <t>893314759</t>
        </is>
      </c>
    </row>
    <row r="1225">
      <c r="A1225" t="inlineStr">
        <is>
          <t>No</t>
        </is>
      </c>
      <c r="B1225" t="inlineStr">
        <is>
          <t>BF731 .C85</t>
        </is>
      </c>
      <c r="C1225" t="inlineStr">
        <is>
          <t>0                      BF 0731000C  85</t>
        </is>
      </c>
      <c r="D1225" t="inlineStr">
        <is>
          <t>The Cultural context of learning and thinking : an exploration in experimental anthropology / by Michael Cole [and others] in association with Thomas Ciborowski [and others]</t>
        </is>
      </c>
      <c r="F1225" t="inlineStr">
        <is>
          <t>No</t>
        </is>
      </c>
      <c r="G1225" t="inlineStr">
        <is>
          <t>1</t>
        </is>
      </c>
      <c r="H1225" t="inlineStr">
        <is>
          <t>No</t>
        </is>
      </c>
      <c r="I1225" t="inlineStr">
        <is>
          <t>No</t>
        </is>
      </c>
      <c r="J1225" t="inlineStr">
        <is>
          <t>0</t>
        </is>
      </c>
      <c r="L1225" t="inlineStr">
        <is>
          <t>New York : Basic Books, [1971]</t>
        </is>
      </c>
      <c r="M1225" t="inlineStr">
        <is>
          <t>1971</t>
        </is>
      </c>
      <c r="O1225" t="inlineStr">
        <is>
          <t>eng</t>
        </is>
      </c>
      <c r="P1225" t="inlineStr">
        <is>
          <t>nyu</t>
        </is>
      </c>
      <c r="R1225" t="inlineStr">
        <is>
          <t xml:space="preserve">BF </t>
        </is>
      </c>
      <c r="S1225" t="n">
        <v>2</v>
      </c>
      <c r="T1225" t="n">
        <v>2</v>
      </c>
      <c r="U1225" t="inlineStr">
        <is>
          <t>1993-09-17</t>
        </is>
      </c>
      <c r="V1225" t="inlineStr">
        <is>
          <t>1993-09-17</t>
        </is>
      </c>
      <c r="W1225" t="inlineStr">
        <is>
          <t>1990-10-01</t>
        </is>
      </c>
      <c r="X1225" t="inlineStr">
        <is>
          <t>1990-10-01</t>
        </is>
      </c>
      <c r="Y1225" t="n">
        <v>811</v>
      </c>
      <c r="Z1225" t="n">
        <v>700</v>
      </c>
      <c r="AA1225" t="n">
        <v>709</v>
      </c>
      <c r="AB1225" t="n">
        <v>4</v>
      </c>
      <c r="AC1225" t="n">
        <v>4</v>
      </c>
      <c r="AD1225" t="n">
        <v>27</v>
      </c>
      <c r="AE1225" t="n">
        <v>27</v>
      </c>
      <c r="AF1225" t="n">
        <v>10</v>
      </c>
      <c r="AG1225" t="n">
        <v>10</v>
      </c>
      <c r="AH1225" t="n">
        <v>5</v>
      </c>
      <c r="AI1225" t="n">
        <v>5</v>
      </c>
      <c r="AJ1225" t="n">
        <v>18</v>
      </c>
      <c r="AK1225" t="n">
        <v>18</v>
      </c>
      <c r="AL1225" t="n">
        <v>3</v>
      </c>
      <c r="AM1225" t="n">
        <v>3</v>
      </c>
      <c r="AN1225" t="n">
        <v>0</v>
      </c>
      <c r="AO1225" t="n">
        <v>0</v>
      </c>
      <c r="AP1225" t="inlineStr">
        <is>
          <t>No</t>
        </is>
      </c>
      <c r="AQ1225" t="inlineStr">
        <is>
          <t>Yes</t>
        </is>
      </c>
      <c r="AR1225">
        <f>HYPERLINK("http://catalog.hathitrust.org/Record/000430517","HathiTrust Record")</f>
        <v/>
      </c>
      <c r="AS1225">
        <f>HYPERLINK("https://creighton-primo.hosted.exlibrisgroup.com/primo-explore/search?tab=default_tab&amp;search_scope=EVERYTHING&amp;vid=01CRU&amp;lang=en_US&amp;offset=0&amp;query=any,contains,991001238499702656","Catalog Record")</f>
        <v/>
      </c>
      <c r="AT1225">
        <f>HYPERLINK("http://www.worldcat.org/oclc/207468","WorldCat Record")</f>
        <v/>
      </c>
      <c r="AU1225" t="inlineStr">
        <is>
          <t>807291939:eng</t>
        </is>
      </c>
      <c r="AV1225" t="inlineStr">
        <is>
          <t>207468</t>
        </is>
      </c>
      <c r="AW1225" t="inlineStr">
        <is>
          <t>991001238499702656</t>
        </is>
      </c>
      <c r="AX1225" t="inlineStr">
        <is>
          <t>991001238499702656</t>
        </is>
      </c>
      <c r="AY1225" t="inlineStr">
        <is>
          <t>2267225930002656</t>
        </is>
      </c>
      <c r="AZ1225" t="inlineStr">
        <is>
          <t>BOOK</t>
        </is>
      </c>
      <c r="BB1225" t="inlineStr">
        <is>
          <t>9780465014989</t>
        </is>
      </c>
      <c r="BC1225" t="inlineStr">
        <is>
          <t>32285000322890</t>
        </is>
      </c>
      <c r="BD1225" t="inlineStr">
        <is>
          <t>893684181</t>
        </is>
      </c>
    </row>
    <row r="1226">
      <c r="A1226" t="inlineStr">
        <is>
          <t>No</t>
        </is>
      </c>
      <c r="B1226" t="inlineStr">
        <is>
          <t>BF75 .P73 1987</t>
        </is>
      </c>
      <c r="C1226" t="inlineStr">
        <is>
          <t>0                      BF 0075000P  73          1987</t>
        </is>
      </c>
      <c r="D1226" t="inlineStr">
        <is>
          <t>Psychology as a profession : foundations of practice / Walter B. Pryzwansky, Robert N. Wendt.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K1226" t="inlineStr">
        <is>
          <t>Pryzwansky, Walter B., 1939-</t>
        </is>
      </c>
      <c r="L1226" t="inlineStr">
        <is>
          <t>New York : Pergamon Press, 1987.</t>
        </is>
      </c>
      <c r="M1226" t="inlineStr">
        <is>
          <t>1987</t>
        </is>
      </c>
      <c r="O1226" t="inlineStr">
        <is>
          <t>eng</t>
        </is>
      </c>
      <c r="P1226" t="inlineStr">
        <is>
          <t>nyu</t>
        </is>
      </c>
      <c r="Q1226" t="inlineStr">
        <is>
          <t>Psychology practitioner guidebooks</t>
        </is>
      </c>
      <c r="R1226" t="inlineStr">
        <is>
          <t xml:space="preserve">BF </t>
        </is>
      </c>
      <c r="S1226" t="n">
        <v>6</v>
      </c>
      <c r="T1226" t="n">
        <v>6</v>
      </c>
      <c r="U1226" t="inlineStr">
        <is>
          <t>2006-02-22</t>
        </is>
      </c>
      <c r="V1226" t="inlineStr">
        <is>
          <t>2006-02-22</t>
        </is>
      </c>
      <c r="W1226" t="inlineStr">
        <is>
          <t>1992-02-24</t>
        </is>
      </c>
      <c r="X1226" t="inlineStr">
        <is>
          <t>1992-02-24</t>
        </is>
      </c>
      <c r="Y1226" t="n">
        <v>366</v>
      </c>
      <c r="Z1226" t="n">
        <v>295</v>
      </c>
      <c r="AA1226" t="n">
        <v>296</v>
      </c>
      <c r="AB1226" t="n">
        <v>3</v>
      </c>
      <c r="AC1226" t="n">
        <v>3</v>
      </c>
      <c r="AD1226" t="n">
        <v>14</v>
      </c>
      <c r="AE1226" t="n">
        <v>14</v>
      </c>
      <c r="AF1226" t="n">
        <v>3</v>
      </c>
      <c r="AG1226" t="n">
        <v>3</v>
      </c>
      <c r="AH1226" t="n">
        <v>2</v>
      </c>
      <c r="AI1226" t="n">
        <v>2</v>
      </c>
      <c r="AJ1226" t="n">
        <v>10</v>
      </c>
      <c r="AK1226" t="n">
        <v>10</v>
      </c>
      <c r="AL1226" t="n">
        <v>2</v>
      </c>
      <c r="AM1226" t="n">
        <v>2</v>
      </c>
      <c r="AN1226" t="n">
        <v>0</v>
      </c>
      <c r="AO1226" t="n">
        <v>0</v>
      </c>
      <c r="AP1226" t="inlineStr">
        <is>
          <t>No</t>
        </is>
      </c>
      <c r="AQ1226" t="inlineStr">
        <is>
          <t>Yes</t>
        </is>
      </c>
      <c r="AR1226">
        <f>HYPERLINK("http://catalog.hathitrust.org/Record/000855168","HathiTrust Record")</f>
        <v/>
      </c>
      <c r="AS1226">
        <f>HYPERLINK("https://creighton-primo.hosted.exlibrisgroup.com/primo-explore/search?tab=default_tab&amp;search_scope=EVERYTHING&amp;vid=01CRU&amp;lang=en_US&amp;offset=0&amp;query=any,contains,991000955119702656","Catalog Record")</f>
        <v/>
      </c>
      <c r="AT1226">
        <f>HYPERLINK("http://www.worldcat.org/oclc/14716519","WorldCat Record")</f>
        <v/>
      </c>
      <c r="AU1226" t="inlineStr">
        <is>
          <t>836690756:eng</t>
        </is>
      </c>
      <c r="AV1226" t="inlineStr">
        <is>
          <t>14716519</t>
        </is>
      </c>
      <c r="AW1226" t="inlineStr">
        <is>
          <t>991000955119702656</t>
        </is>
      </c>
      <c r="AX1226" t="inlineStr">
        <is>
          <t>991000955119702656</t>
        </is>
      </c>
      <c r="AY1226" t="inlineStr">
        <is>
          <t>2255801400002656</t>
        </is>
      </c>
      <c r="AZ1226" t="inlineStr">
        <is>
          <t>BOOK</t>
        </is>
      </c>
      <c r="BB1226" t="inlineStr">
        <is>
          <t>9780080331287</t>
        </is>
      </c>
      <c r="BC1226" t="inlineStr">
        <is>
          <t>32285000975366</t>
        </is>
      </c>
      <c r="BD1226" t="inlineStr">
        <is>
          <t>893225478</t>
        </is>
      </c>
    </row>
    <row r="1227">
      <c r="A1227" t="inlineStr">
        <is>
          <t>No</t>
        </is>
      </c>
      <c r="B1227" t="inlineStr">
        <is>
          <t>BF75 .R445 1994</t>
        </is>
      </c>
      <c r="C1227" t="inlineStr">
        <is>
          <t>0                      BF 0075000R  445         1994</t>
        </is>
      </c>
      <c r="D1227" t="inlineStr">
        <is>
          <t>The psychologist's guide to an academic career / Harriet L. Rheingold.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Rheingold, Harriet L. (Harriet Lange)</t>
        </is>
      </c>
      <c r="L1227" t="inlineStr">
        <is>
          <t>Washington, DC : American Psychological Association, c1994.</t>
        </is>
      </c>
      <c r="M1227" t="inlineStr">
        <is>
          <t>1994</t>
        </is>
      </c>
      <c r="N1227" t="inlineStr">
        <is>
          <t>1st ed.</t>
        </is>
      </c>
      <c r="O1227" t="inlineStr">
        <is>
          <t>eng</t>
        </is>
      </c>
      <c r="P1227" t="inlineStr">
        <is>
          <t>dcu</t>
        </is>
      </c>
      <c r="R1227" t="inlineStr">
        <is>
          <t xml:space="preserve">BF </t>
        </is>
      </c>
      <c r="S1227" t="n">
        <v>1</v>
      </c>
      <c r="T1227" t="n">
        <v>1</v>
      </c>
      <c r="U1227" t="inlineStr">
        <is>
          <t>2006-02-22</t>
        </is>
      </c>
      <c r="V1227" t="inlineStr">
        <is>
          <t>2006-02-22</t>
        </is>
      </c>
      <c r="W1227" t="inlineStr">
        <is>
          <t>1995-05-24</t>
        </is>
      </c>
      <c r="X1227" t="inlineStr">
        <is>
          <t>1995-05-24</t>
        </is>
      </c>
      <c r="Y1227" t="n">
        <v>255</v>
      </c>
      <c r="Z1227" t="n">
        <v>207</v>
      </c>
      <c r="AA1227" t="n">
        <v>267</v>
      </c>
      <c r="AB1227" t="n">
        <v>3</v>
      </c>
      <c r="AC1227" t="n">
        <v>4</v>
      </c>
      <c r="AD1227" t="n">
        <v>11</v>
      </c>
      <c r="AE1227" t="n">
        <v>15</v>
      </c>
      <c r="AF1227" t="n">
        <v>2</v>
      </c>
      <c r="AG1227" t="n">
        <v>4</v>
      </c>
      <c r="AH1227" t="n">
        <v>1</v>
      </c>
      <c r="AI1227" t="n">
        <v>1</v>
      </c>
      <c r="AJ1227" t="n">
        <v>9</v>
      </c>
      <c r="AK1227" t="n">
        <v>10</v>
      </c>
      <c r="AL1227" t="n">
        <v>2</v>
      </c>
      <c r="AM1227" t="n">
        <v>3</v>
      </c>
      <c r="AN1227" t="n">
        <v>0</v>
      </c>
      <c r="AO1227" t="n">
        <v>0</v>
      </c>
      <c r="AP1227" t="inlineStr">
        <is>
          <t>No</t>
        </is>
      </c>
      <c r="AQ1227" t="inlineStr">
        <is>
          <t>No</t>
        </is>
      </c>
      <c r="AS1227">
        <f>HYPERLINK("https://creighton-primo.hosted.exlibrisgroup.com/primo-explore/search?tab=default_tab&amp;search_scope=EVERYTHING&amp;vid=01CRU&amp;lang=en_US&amp;offset=0&amp;query=any,contains,991002294019702656","Catalog Record")</f>
        <v/>
      </c>
      <c r="AT1227">
        <f>HYPERLINK("http://www.worldcat.org/oclc/29753191","WorldCat Record")</f>
        <v/>
      </c>
      <c r="AU1227" t="inlineStr">
        <is>
          <t>1047121:eng</t>
        </is>
      </c>
      <c r="AV1227" t="inlineStr">
        <is>
          <t>29753191</t>
        </is>
      </c>
      <c r="AW1227" t="inlineStr">
        <is>
          <t>991002294019702656</t>
        </is>
      </c>
      <c r="AX1227" t="inlineStr">
        <is>
          <t>991002294019702656</t>
        </is>
      </c>
      <c r="AY1227" t="inlineStr">
        <is>
          <t>2262077420002656</t>
        </is>
      </c>
      <c r="AZ1227" t="inlineStr">
        <is>
          <t>BOOK</t>
        </is>
      </c>
      <c r="BB1227" t="inlineStr">
        <is>
          <t>9781557982278</t>
        </is>
      </c>
      <c r="BC1227" t="inlineStr">
        <is>
          <t>32285002047180</t>
        </is>
      </c>
      <c r="BD1227" t="inlineStr">
        <is>
          <t>893898583</t>
        </is>
      </c>
    </row>
    <row r="1228">
      <c r="A1228" t="inlineStr">
        <is>
          <t>No</t>
        </is>
      </c>
      <c r="B1228" t="inlineStr">
        <is>
          <t>BF755.A5 P8</t>
        </is>
      </c>
      <c r="C1228" t="inlineStr">
        <is>
          <t>0                      BF 0755000A  5                  P  8</t>
        </is>
      </c>
      <c r="D1228" t="inlineStr">
        <is>
          <t>The adjusted American; normal neuroses in the individual and society [by] Snell Putney and Gail J. Putney.</t>
        </is>
      </c>
      <c r="F1228" t="inlineStr">
        <is>
          <t>No</t>
        </is>
      </c>
      <c r="G1228" t="inlineStr">
        <is>
          <t>1</t>
        </is>
      </c>
      <c r="H1228" t="inlineStr">
        <is>
          <t>No</t>
        </is>
      </c>
      <c r="I1228" t="inlineStr">
        <is>
          <t>No</t>
        </is>
      </c>
      <c r="J1228" t="inlineStr">
        <is>
          <t>0</t>
        </is>
      </c>
      <c r="K1228" t="inlineStr">
        <is>
          <t>Putney, Snell.</t>
        </is>
      </c>
      <c r="L1228" t="inlineStr">
        <is>
          <t>New York, Harper &amp; Row [1966, c1964]</t>
        </is>
      </c>
      <c r="M1228" t="inlineStr">
        <is>
          <t>1966</t>
        </is>
      </c>
      <c r="O1228" t="inlineStr">
        <is>
          <t>eng</t>
        </is>
      </c>
      <c r="P1228" t="inlineStr">
        <is>
          <t>nyu</t>
        </is>
      </c>
      <c r="Q1228" t="inlineStr">
        <is>
          <t>Harper colophon books ; CN95</t>
        </is>
      </c>
      <c r="R1228" t="inlineStr">
        <is>
          <t xml:space="preserve">BF </t>
        </is>
      </c>
      <c r="S1228" t="n">
        <v>3</v>
      </c>
      <c r="T1228" t="n">
        <v>3</v>
      </c>
      <c r="U1228" t="inlineStr">
        <is>
          <t>2000-02-29</t>
        </is>
      </c>
      <c r="V1228" t="inlineStr">
        <is>
          <t>2000-02-29</t>
        </is>
      </c>
      <c r="W1228" t="inlineStr">
        <is>
          <t>1996-08-07</t>
        </is>
      </c>
      <c r="X1228" t="inlineStr">
        <is>
          <t>1996-08-07</t>
        </is>
      </c>
      <c r="Y1228" t="n">
        <v>256</v>
      </c>
      <c r="Z1228" t="n">
        <v>236</v>
      </c>
      <c r="AA1228" t="n">
        <v>365</v>
      </c>
      <c r="AB1228" t="n">
        <v>3</v>
      </c>
      <c r="AC1228" t="n">
        <v>3</v>
      </c>
      <c r="AD1228" t="n">
        <v>16</v>
      </c>
      <c r="AE1228" t="n">
        <v>20</v>
      </c>
      <c r="AF1228" t="n">
        <v>7</v>
      </c>
      <c r="AG1228" t="n">
        <v>10</v>
      </c>
      <c r="AH1228" t="n">
        <v>3</v>
      </c>
      <c r="AI1228" t="n">
        <v>4</v>
      </c>
      <c r="AJ1228" t="n">
        <v>7</v>
      </c>
      <c r="AK1228" t="n">
        <v>9</v>
      </c>
      <c r="AL1228" t="n">
        <v>2</v>
      </c>
      <c r="AM1228" t="n">
        <v>2</v>
      </c>
      <c r="AN1228" t="n">
        <v>0</v>
      </c>
      <c r="AO1228" t="n">
        <v>0</v>
      </c>
      <c r="AP1228" t="inlineStr">
        <is>
          <t>No</t>
        </is>
      </c>
      <c r="AQ1228" t="inlineStr">
        <is>
          <t>Yes</t>
        </is>
      </c>
      <c r="AR1228">
        <f>HYPERLINK("http://catalog.hathitrust.org/Record/000472730","HathiTrust Record")</f>
        <v/>
      </c>
      <c r="AS1228">
        <f>HYPERLINK("https://creighton-primo.hosted.exlibrisgroup.com/primo-explore/search?tab=default_tab&amp;search_scope=EVERYTHING&amp;vid=01CRU&amp;lang=en_US&amp;offset=0&amp;query=any,contains,991002825779702656","Catalog Record")</f>
        <v/>
      </c>
      <c r="AT1228">
        <f>HYPERLINK("http://www.worldcat.org/oclc/475402","WorldCat Record")</f>
        <v/>
      </c>
      <c r="AU1228" t="inlineStr">
        <is>
          <t>367510145:eng</t>
        </is>
      </c>
      <c r="AV1228" t="inlineStr">
        <is>
          <t>475402</t>
        </is>
      </c>
      <c r="AW1228" t="inlineStr">
        <is>
          <t>991002825779702656</t>
        </is>
      </c>
      <c r="AX1228" t="inlineStr">
        <is>
          <t>991002825779702656</t>
        </is>
      </c>
      <c r="AY1228" t="inlineStr">
        <is>
          <t>2255305570002656</t>
        </is>
      </c>
      <c r="AZ1228" t="inlineStr">
        <is>
          <t>BOOK</t>
        </is>
      </c>
      <c r="BC1228" t="inlineStr">
        <is>
          <t>32285002257490</t>
        </is>
      </c>
      <c r="BD1228" t="inlineStr">
        <is>
          <t>893445388</t>
        </is>
      </c>
    </row>
    <row r="1229">
      <c r="A1229" t="inlineStr">
        <is>
          <t>No</t>
        </is>
      </c>
      <c r="B1229" t="inlineStr">
        <is>
          <t>BF755.A5 R5</t>
        </is>
      </c>
      <c r="C1229" t="inlineStr">
        <is>
          <t>0                      BF 0755000A  5                  R  5</t>
        </is>
      </c>
      <c r="D1229" t="inlineStr">
        <is>
          <t>The lonely crowd : a study of the changing American character / by David Riesman in collaboration with Reuel Denney and Nathan Glazer.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K1229" t="inlineStr">
        <is>
          <t>Riesman, David, 1909-2002.</t>
        </is>
      </c>
      <c r="L1229" t="inlineStr">
        <is>
          <t>New Haven : Yale University Press, 1950.</t>
        </is>
      </c>
      <c r="M1229" t="inlineStr">
        <is>
          <t>1950</t>
        </is>
      </c>
      <c r="O1229" t="inlineStr">
        <is>
          <t>eng</t>
        </is>
      </c>
      <c r="P1229" t="inlineStr">
        <is>
          <t>ctu</t>
        </is>
      </c>
      <c r="Q1229" t="inlineStr">
        <is>
          <t>Studies in national policy ; 3</t>
        </is>
      </c>
      <c r="R1229" t="inlineStr">
        <is>
          <t xml:space="preserve">BF </t>
        </is>
      </c>
      <c r="S1229" t="n">
        <v>9</v>
      </c>
      <c r="T1229" t="n">
        <v>9</v>
      </c>
      <c r="U1229" t="inlineStr">
        <is>
          <t>2009-10-29</t>
        </is>
      </c>
      <c r="V1229" t="inlineStr">
        <is>
          <t>2009-10-29</t>
        </is>
      </c>
      <c r="W1229" t="inlineStr">
        <is>
          <t>1990-10-01</t>
        </is>
      </c>
      <c r="X1229" t="inlineStr">
        <is>
          <t>1990-10-01</t>
        </is>
      </c>
      <c r="Y1229" t="n">
        <v>1284</v>
      </c>
      <c r="Z1229" t="n">
        <v>1166</v>
      </c>
      <c r="AA1229" t="n">
        <v>2758</v>
      </c>
      <c r="AB1229" t="n">
        <v>5</v>
      </c>
      <c r="AC1229" t="n">
        <v>19</v>
      </c>
      <c r="AD1229" t="n">
        <v>25</v>
      </c>
      <c r="AE1229" t="n">
        <v>75</v>
      </c>
      <c r="AF1229" t="n">
        <v>8</v>
      </c>
      <c r="AG1229" t="n">
        <v>29</v>
      </c>
      <c r="AH1229" t="n">
        <v>5</v>
      </c>
      <c r="AI1229" t="n">
        <v>11</v>
      </c>
      <c r="AJ1229" t="n">
        <v>11</v>
      </c>
      <c r="AK1229" t="n">
        <v>29</v>
      </c>
      <c r="AL1229" t="n">
        <v>4</v>
      </c>
      <c r="AM1229" t="n">
        <v>14</v>
      </c>
      <c r="AN1229" t="n">
        <v>2</v>
      </c>
      <c r="AO1229" t="n">
        <v>6</v>
      </c>
      <c r="AP1229" t="inlineStr">
        <is>
          <t>No</t>
        </is>
      </c>
      <c r="AQ1229" t="inlineStr">
        <is>
          <t>No</t>
        </is>
      </c>
      <c r="AR1229">
        <f>HYPERLINK("http://catalog.hathitrust.org/Record/000473020","HathiTrust Record")</f>
        <v/>
      </c>
      <c r="AS1229">
        <f>HYPERLINK("https://creighton-primo.hosted.exlibrisgroup.com/primo-explore/search?tab=default_tab&amp;search_scope=EVERYTHING&amp;vid=01CRU&amp;lang=en_US&amp;offset=0&amp;query=any,contains,991003082129702656","Catalog Record")</f>
        <v/>
      </c>
      <c r="AT1229">
        <f>HYPERLINK("http://www.worldcat.org/oclc/634095","WorldCat Record")</f>
        <v/>
      </c>
      <c r="AU1229" t="inlineStr">
        <is>
          <t>197612135:eng</t>
        </is>
      </c>
      <c r="AV1229" t="inlineStr">
        <is>
          <t>634095</t>
        </is>
      </c>
      <c r="AW1229" t="inlineStr">
        <is>
          <t>991003082129702656</t>
        </is>
      </c>
      <c r="AX1229" t="inlineStr">
        <is>
          <t>991003082129702656</t>
        </is>
      </c>
      <c r="AY1229" t="inlineStr">
        <is>
          <t>2255586470002656</t>
        </is>
      </c>
      <c r="AZ1229" t="inlineStr">
        <is>
          <t>BOOK</t>
        </is>
      </c>
      <c r="BC1229" t="inlineStr">
        <is>
          <t>32285000322908</t>
        </is>
      </c>
      <c r="BD1229" t="inlineStr">
        <is>
          <t>893805403</t>
        </is>
      </c>
    </row>
    <row r="1230">
      <c r="A1230" t="inlineStr">
        <is>
          <t>No</t>
        </is>
      </c>
      <c r="B1230" t="inlineStr">
        <is>
          <t>BF755.J4 B37 1975</t>
        </is>
      </c>
      <c r="C1230" t="inlineStr">
        <is>
          <t>0                      BF 0755000J  4                  B  37          1975</t>
        </is>
      </c>
      <c r="D1230" t="inlineStr">
        <is>
          <t>Public and private self in Japan and the United States : communicative styles of two cultures / Dean C. Barnlund.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K1230" t="inlineStr">
        <is>
          <t>Barnlund, Dean C.</t>
        </is>
      </c>
      <c r="L1230" t="inlineStr">
        <is>
          <t>Tokyo : Simul Press ; [Portland, Ore. : distributed by ISBS], c1975, 1982 printing.</t>
        </is>
      </c>
      <c r="M1230" t="inlineStr">
        <is>
          <t>1975</t>
        </is>
      </c>
      <c r="N1230" t="inlineStr">
        <is>
          <t>1st ed.</t>
        </is>
      </c>
      <c r="O1230" t="inlineStr">
        <is>
          <t>eng</t>
        </is>
      </c>
      <c r="P1230" t="inlineStr">
        <is>
          <t xml:space="preserve">ja </t>
        </is>
      </c>
      <c r="R1230" t="inlineStr">
        <is>
          <t xml:space="preserve">BF </t>
        </is>
      </c>
      <c r="S1230" t="n">
        <v>2</v>
      </c>
      <c r="T1230" t="n">
        <v>2</v>
      </c>
      <c r="U1230" t="inlineStr">
        <is>
          <t>2007-04-17</t>
        </is>
      </c>
      <c r="V1230" t="inlineStr">
        <is>
          <t>2007-04-17</t>
        </is>
      </c>
      <c r="W1230" t="inlineStr">
        <is>
          <t>1992-12-09</t>
        </is>
      </c>
      <c r="X1230" t="inlineStr">
        <is>
          <t>1992-12-09</t>
        </is>
      </c>
      <c r="Y1230" t="n">
        <v>325</v>
      </c>
      <c r="Z1230" t="n">
        <v>248</v>
      </c>
      <c r="AA1230" t="n">
        <v>414</v>
      </c>
      <c r="AB1230" t="n">
        <v>2</v>
      </c>
      <c r="AC1230" t="n">
        <v>2</v>
      </c>
      <c r="AD1230" t="n">
        <v>6</v>
      </c>
      <c r="AE1230" t="n">
        <v>17</v>
      </c>
      <c r="AF1230" t="n">
        <v>3</v>
      </c>
      <c r="AG1230" t="n">
        <v>10</v>
      </c>
      <c r="AH1230" t="n">
        <v>0</v>
      </c>
      <c r="AI1230" t="n">
        <v>1</v>
      </c>
      <c r="AJ1230" t="n">
        <v>2</v>
      </c>
      <c r="AK1230" t="n">
        <v>9</v>
      </c>
      <c r="AL1230" t="n">
        <v>1</v>
      </c>
      <c r="AM1230" t="n">
        <v>1</v>
      </c>
      <c r="AN1230" t="n">
        <v>0</v>
      </c>
      <c r="AO1230" t="n">
        <v>0</v>
      </c>
      <c r="AP1230" t="inlineStr">
        <is>
          <t>No</t>
        </is>
      </c>
      <c r="AQ1230" t="inlineStr">
        <is>
          <t>No</t>
        </is>
      </c>
      <c r="AS1230">
        <f>HYPERLINK("https://creighton-primo.hosted.exlibrisgroup.com/primo-explore/search?tab=default_tab&amp;search_scope=EVERYTHING&amp;vid=01CRU&amp;lang=en_US&amp;offset=0&amp;query=any,contains,991003897229702656","Catalog Record")</f>
        <v/>
      </c>
      <c r="AT1230">
        <f>HYPERLINK("http://www.worldcat.org/oclc/1813304","WorldCat Record")</f>
        <v/>
      </c>
      <c r="AU1230" t="inlineStr">
        <is>
          <t>2592806:eng</t>
        </is>
      </c>
      <c r="AV1230" t="inlineStr">
        <is>
          <t>1813304</t>
        </is>
      </c>
      <c r="AW1230" t="inlineStr">
        <is>
          <t>991003897229702656</t>
        </is>
      </c>
      <c r="AX1230" t="inlineStr">
        <is>
          <t>991003897229702656</t>
        </is>
      </c>
      <c r="AY1230" t="inlineStr">
        <is>
          <t>2258163260002656</t>
        </is>
      </c>
      <c r="AZ1230" t="inlineStr">
        <is>
          <t>BOOK</t>
        </is>
      </c>
      <c r="BC1230" t="inlineStr">
        <is>
          <t>32285001440469</t>
        </is>
      </c>
      <c r="BD1230" t="inlineStr">
        <is>
          <t>893435638</t>
        </is>
      </c>
    </row>
    <row r="1231">
      <c r="A1231" t="inlineStr">
        <is>
          <t>No</t>
        </is>
      </c>
      <c r="B1231" t="inlineStr">
        <is>
          <t>BF76 .W37</t>
        </is>
      </c>
      <c r="C1231" t="inlineStr">
        <is>
          <t>0                      BF 0076000W  37</t>
        </is>
      </c>
      <c r="D1231" t="inlineStr">
        <is>
          <t>The profession of psychology.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K1231" t="inlineStr">
        <is>
          <t>Webb, Wilse B. editor.</t>
        </is>
      </c>
      <c r="L1231" t="inlineStr">
        <is>
          <t>New York : Holt, Rinehart and Winston, [1962]</t>
        </is>
      </c>
      <c r="M1231" t="inlineStr">
        <is>
          <t>1962</t>
        </is>
      </c>
      <c r="O1231" t="inlineStr">
        <is>
          <t>eng</t>
        </is>
      </c>
      <c r="P1231" t="inlineStr">
        <is>
          <t>nyu</t>
        </is>
      </c>
      <c r="R1231" t="inlineStr">
        <is>
          <t xml:space="preserve">BF </t>
        </is>
      </c>
      <c r="S1231" t="n">
        <v>1</v>
      </c>
      <c r="T1231" t="n">
        <v>1</v>
      </c>
      <c r="U1231" t="inlineStr">
        <is>
          <t>2008-03-18</t>
        </is>
      </c>
      <c r="V1231" t="inlineStr">
        <is>
          <t>2008-03-18</t>
        </is>
      </c>
      <c r="W1231" t="inlineStr">
        <is>
          <t>1993-11-11</t>
        </is>
      </c>
      <c r="X1231" t="inlineStr">
        <is>
          <t>1993-11-11</t>
        </is>
      </c>
      <c r="Y1231" t="n">
        <v>447</v>
      </c>
      <c r="Z1231" t="n">
        <v>377</v>
      </c>
      <c r="AA1231" t="n">
        <v>387</v>
      </c>
      <c r="AB1231" t="n">
        <v>2</v>
      </c>
      <c r="AC1231" t="n">
        <v>2</v>
      </c>
      <c r="AD1231" t="n">
        <v>18</v>
      </c>
      <c r="AE1231" t="n">
        <v>18</v>
      </c>
      <c r="AF1231" t="n">
        <v>7</v>
      </c>
      <c r="AG1231" t="n">
        <v>7</v>
      </c>
      <c r="AH1231" t="n">
        <v>4</v>
      </c>
      <c r="AI1231" t="n">
        <v>4</v>
      </c>
      <c r="AJ1231" t="n">
        <v>12</v>
      </c>
      <c r="AK1231" t="n">
        <v>12</v>
      </c>
      <c r="AL1231" t="n">
        <v>1</v>
      </c>
      <c r="AM1231" t="n">
        <v>1</v>
      </c>
      <c r="AN1231" t="n">
        <v>0</v>
      </c>
      <c r="AO1231" t="n">
        <v>0</v>
      </c>
      <c r="AP1231" t="inlineStr">
        <is>
          <t>No</t>
        </is>
      </c>
      <c r="AQ1231" t="inlineStr">
        <is>
          <t>Yes</t>
        </is>
      </c>
      <c r="AR1231">
        <f>HYPERLINK("http://catalog.hathitrust.org/Record/000581263","HathiTrust Record")</f>
        <v/>
      </c>
      <c r="AS1231">
        <f>HYPERLINK("https://creighton-primo.hosted.exlibrisgroup.com/primo-explore/search?tab=default_tab&amp;search_scope=EVERYTHING&amp;vid=01CRU&amp;lang=en_US&amp;offset=0&amp;query=any,contains,991001179869702656","Catalog Record")</f>
        <v/>
      </c>
      <c r="AT1231">
        <f>HYPERLINK("http://www.worldcat.org/oclc/189872","WorldCat Record")</f>
        <v/>
      </c>
      <c r="AU1231" t="inlineStr">
        <is>
          <t>1346588:eng</t>
        </is>
      </c>
      <c r="AV1231" t="inlineStr">
        <is>
          <t>189872</t>
        </is>
      </c>
      <c r="AW1231" t="inlineStr">
        <is>
          <t>991001179869702656</t>
        </is>
      </c>
      <c r="AX1231" t="inlineStr">
        <is>
          <t>991001179869702656</t>
        </is>
      </c>
      <c r="AY1231" t="inlineStr">
        <is>
          <t>2268490540002656</t>
        </is>
      </c>
      <c r="AZ1231" t="inlineStr">
        <is>
          <t>BOOK</t>
        </is>
      </c>
      <c r="BC1231" t="inlineStr">
        <is>
          <t>32285001798353</t>
        </is>
      </c>
      <c r="BD1231" t="inlineStr">
        <is>
          <t>893420142</t>
        </is>
      </c>
    </row>
    <row r="1232">
      <c r="A1232" t="inlineStr">
        <is>
          <t>No</t>
        </is>
      </c>
      <c r="B1232" t="inlineStr">
        <is>
          <t>BF76.5 .B695</t>
        </is>
      </c>
      <c r="C1232" t="inlineStr">
        <is>
          <t>0                      BF 0076500B  695</t>
        </is>
      </c>
      <c r="D1232" t="inlineStr">
        <is>
          <t>Studying behavior in natural settings [by] Richard M. Brandt.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K1232" t="inlineStr">
        <is>
          <t>Brandt, Richard M. (Richard Martin), 1922-</t>
        </is>
      </c>
      <c r="L1232" t="inlineStr">
        <is>
          <t>New York, Holt, Rinehart and Winston [c1972]</t>
        </is>
      </c>
      <c r="M1232" t="inlineStr">
        <is>
          <t>1972</t>
        </is>
      </c>
      <c r="O1232" t="inlineStr">
        <is>
          <t>eng</t>
        </is>
      </c>
      <c r="P1232" t="inlineStr">
        <is>
          <t>nyu</t>
        </is>
      </c>
      <c r="R1232" t="inlineStr">
        <is>
          <t xml:space="preserve">BF </t>
        </is>
      </c>
      <c r="S1232" t="n">
        <v>2</v>
      </c>
      <c r="T1232" t="n">
        <v>2</v>
      </c>
      <c r="U1232" t="inlineStr">
        <is>
          <t>1997-03-17</t>
        </is>
      </c>
      <c r="V1232" t="inlineStr">
        <is>
          <t>1997-03-17</t>
        </is>
      </c>
      <c r="W1232" t="inlineStr">
        <is>
          <t>1996-07-23</t>
        </is>
      </c>
      <c r="X1232" t="inlineStr">
        <is>
          <t>1996-07-23</t>
        </is>
      </c>
      <c r="Y1232" t="n">
        <v>335</v>
      </c>
      <c r="Z1232" t="n">
        <v>235</v>
      </c>
      <c r="AA1232" t="n">
        <v>437</v>
      </c>
      <c r="AB1232" t="n">
        <v>3</v>
      </c>
      <c r="AC1232" t="n">
        <v>4</v>
      </c>
      <c r="AD1232" t="n">
        <v>3</v>
      </c>
      <c r="AE1232" t="n">
        <v>14</v>
      </c>
      <c r="AF1232" t="n">
        <v>0</v>
      </c>
      <c r="AG1232" t="n">
        <v>6</v>
      </c>
      <c r="AH1232" t="n">
        <v>0</v>
      </c>
      <c r="AI1232" t="n">
        <v>3</v>
      </c>
      <c r="AJ1232" t="n">
        <v>2</v>
      </c>
      <c r="AK1232" t="n">
        <v>6</v>
      </c>
      <c r="AL1232" t="n">
        <v>1</v>
      </c>
      <c r="AM1232" t="n">
        <v>2</v>
      </c>
      <c r="AN1232" t="n">
        <v>0</v>
      </c>
      <c r="AO1232" t="n">
        <v>0</v>
      </c>
      <c r="AP1232" t="inlineStr">
        <is>
          <t>No</t>
        </is>
      </c>
      <c r="AQ1232" t="inlineStr">
        <is>
          <t>Yes</t>
        </is>
      </c>
      <c r="AR1232">
        <f>HYPERLINK("http://catalog.hathitrust.org/Record/000580660","HathiTrust Record")</f>
        <v/>
      </c>
      <c r="AS1232">
        <f>HYPERLINK("https://creighton-primo.hosted.exlibrisgroup.com/primo-explore/search?tab=default_tab&amp;search_scope=EVERYTHING&amp;vid=01CRU&amp;lang=en_US&amp;offset=0&amp;query=any,contains,991002260079702656","Catalog Record")</f>
        <v/>
      </c>
      <c r="AT1232">
        <f>HYPERLINK("http://www.worldcat.org/oclc/303853","WorldCat Record")</f>
        <v/>
      </c>
      <c r="AU1232" t="inlineStr">
        <is>
          <t>483318:eng</t>
        </is>
      </c>
      <c r="AV1232" t="inlineStr">
        <is>
          <t>303853</t>
        </is>
      </c>
      <c r="AW1232" t="inlineStr">
        <is>
          <t>991002260079702656</t>
        </is>
      </c>
      <c r="AX1232" t="inlineStr">
        <is>
          <t>991002260079702656</t>
        </is>
      </c>
      <c r="AY1232" t="inlineStr">
        <is>
          <t>2272573100002656</t>
        </is>
      </c>
      <c r="AZ1232" t="inlineStr">
        <is>
          <t>BOOK</t>
        </is>
      </c>
      <c r="BB1232" t="inlineStr">
        <is>
          <t>9780030848575</t>
        </is>
      </c>
      <c r="BC1232" t="inlineStr">
        <is>
          <t>32285002233822</t>
        </is>
      </c>
      <c r="BD1232" t="inlineStr">
        <is>
          <t>893866987</t>
        </is>
      </c>
    </row>
    <row r="1233">
      <c r="A1233" t="inlineStr">
        <is>
          <t>No</t>
        </is>
      </c>
      <c r="B1233" t="inlineStr">
        <is>
          <t>BF76.5 .F3</t>
        </is>
      </c>
      <c r="C1233" t="inlineStr">
        <is>
          <t>0                      BF 0076500F  3</t>
        </is>
      </c>
      <c r="D1233" t="inlineStr">
        <is>
          <t>Taboo topics / foreword by Gordon W. Allport.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Farberow, Norman L., editor.</t>
        </is>
      </c>
      <c r="L1233" t="inlineStr">
        <is>
          <t>New York : Atherton Press, [1963]</t>
        </is>
      </c>
      <c r="M1233" t="inlineStr">
        <is>
          <t>1963</t>
        </is>
      </c>
      <c r="O1233" t="inlineStr">
        <is>
          <t>eng</t>
        </is>
      </c>
      <c r="P1233" t="inlineStr">
        <is>
          <t>nyu</t>
        </is>
      </c>
      <c r="Q1233" t="inlineStr">
        <is>
          <t>The Atherton Press behavioral science series</t>
        </is>
      </c>
      <c r="R1233" t="inlineStr">
        <is>
          <t xml:space="preserve">BF </t>
        </is>
      </c>
      <c r="S1233" t="n">
        <v>5</v>
      </c>
      <c r="T1233" t="n">
        <v>5</v>
      </c>
      <c r="U1233" t="inlineStr">
        <is>
          <t>2005-03-20</t>
        </is>
      </c>
      <c r="V1233" t="inlineStr">
        <is>
          <t>2005-03-20</t>
        </is>
      </c>
      <c r="W1233" t="inlineStr">
        <is>
          <t>1993-03-16</t>
        </is>
      </c>
      <c r="X1233" t="inlineStr">
        <is>
          <t>1993-03-16</t>
        </is>
      </c>
      <c r="Y1233" t="n">
        <v>554</v>
      </c>
      <c r="Z1233" t="n">
        <v>488</v>
      </c>
      <c r="AA1233" t="n">
        <v>561</v>
      </c>
      <c r="AB1233" t="n">
        <v>6</v>
      </c>
      <c r="AC1233" t="n">
        <v>6</v>
      </c>
      <c r="AD1233" t="n">
        <v>23</v>
      </c>
      <c r="AE1233" t="n">
        <v>25</v>
      </c>
      <c r="AF1233" t="n">
        <v>7</v>
      </c>
      <c r="AG1233" t="n">
        <v>9</v>
      </c>
      <c r="AH1233" t="n">
        <v>6</v>
      </c>
      <c r="AI1233" t="n">
        <v>6</v>
      </c>
      <c r="AJ1233" t="n">
        <v>12</v>
      </c>
      <c r="AK1233" t="n">
        <v>12</v>
      </c>
      <c r="AL1233" t="n">
        <v>5</v>
      </c>
      <c r="AM1233" t="n">
        <v>5</v>
      </c>
      <c r="AN1233" t="n">
        <v>0</v>
      </c>
      <c r="AO1233" t="n">
        <v>0</v>
      </c>
      <c r="AP1233" t="inlineStr">
        <is>
          <t>No</t>
        </is>
      </c>
      <c r="AQ1233" t="inlineStr">
        <is>
          <t>No</t>
        </is>
      </c>
      <c r="AR1233">
        <f>HYPERLINK("http://catalog.hathitrust.org/Record/000615143","HathiTrust Record")</f>
        <v/>
      </c>
      <c r="AS1233">
        <f>HYPERLINK("https://creighton-primo.hosted.exlibrisgroup.com/primo-explore/search?tab=default_tab&amp;search_scope=EVERYTHING&amp;vid=01CRU&amp;lang=en_US&amp;offset=0&amp;query=any,contains,991001197759702656","Catalog Record")</f>
        <v/>
      </c>
      <c r="AT1233">
        <f>HYPERLINK("http://www.worldcat.org/oclc/191348","WorldCat Record")</f>
        <v/>
      </c>
      <c r="AU1233" t="inlineStr">
        <is>
          <t>1351098:eng</t>
        </is>
      </c>
      <c r="AV1233" t="inlineStr">
        <is>
          <t>191348</t>
        </is>
      </c>
      <c r="AW1233" t="inlineStr">
        <is>
          <t>991001197759702656</t>
        </is>
      </c>
      <c r="AX1233" t="inlineStr">
        <is>
          <t>991001197759702656</t>
        </is>
      </c>
      <c r="AY1233" t="inlineStr">
        <is>
          <t>2258821960002656</t>
        </is>
      </c>
      <c r="AZ1233" t="inlineStr">
        <is>
          <t>BOOK</t>
        </is>
      </c>
      <c r="BC1233" t="inlineStr">
        <is>
          <t>32285001573129</t>
        </is>
      </c>
      <c r="BD1233" t="inlineStr">
        <is>
          <t>893715261</t>
        </is>
      </c>
    </row>
    <row r="1234">
      <c r="A1234" t="inlineStr">
        <is>
          <t>No</t>
        </is>
      </c>
      <c r="B1234" t="inlineStr">
        <is>
          <t>BF76.5 .G46</t>
        </is>
      </c>
      <c r="C1234" t="inlineStr">
        <is>
          <t>0                      BF 0076500G  46</t>
        </is>
      </c>
      <c r="D1234" t="inlineStr">
        <is>
          <t>Genetic destiny : race as a scientific and social controversy / edited by Ethel Tobach and Harold M. Proshansky.</t>
        </is>
      </c>
      <c r="F1234" t="inlineStr">
        <is>
          <t>No</t>
        </is>
      </c>
      <c r="G1234" t="inlineStr">
        <is>
          <t>1</t>
        </is>
      </c>
      <c r="H1234" t="inlineStr">
        <is>
          <t>No</t>
        </is>
      </c>
      <c r="I1234" t="inlineStr">
        <is>
          <t>No</t>
        </is>
      </c>
      <c r="J1234" t="inlineStr">
        <is>
          <t>0</t>
        </is>
      </c>
      <c r="L1234" t="inlineStr">
        <is>
          <t>New York : AMS Press, c1976.</t>
        </is>
      </c>
      <c r="M1234" t="inlineStr">
        <is>
          <t>1976</t>
        </is>
      </c>
      <c r="O1234" t="inlineStr">
        <is>
          <t>eng</t>
        </is>
      </c>
      <c r="P1234" t="inlineStr">
        <is>
          <t>nyu</t>
        </is>
      </c>
      <c r="R1234" t="inlineStr">
        <is>
          <t xml:space="preserve">BF </t>
        </is>
      </c>
      <c r="S1234" t="n">
        <v>1</v>
      </c>
      <c r="T1234" t="n">
        <v>1</v>
      </c>
      <c r="U1234" t="inlineStr">
        <is>
          <t>2003-02-11</t>
        </is>
      </c>
      <c r="V1234" t="inlineStr">
        <is>
          <t>2003-02-11</t>
        </is>
      </c>
      <c r="W1234" t="inlineStr">
        <is>
          <t>1996-07-23</t>
        </is>
      </c>
      <c r="X1234" t="inlineStr">
        <is>
          <t>1996-07-23</t>
        </is>
      </c>
      <c r="Y1234" t="n">
        <v>332</v>
      </c>
      <c r="Z1234" t="n">
        <v>273</v>
      </c>
      <c r="AA1234" t="n">
        <v>273</v>
      </c>
      <c r="AB1234" t="n">
        <v>3</v>
      </c>
      <c r="AC1234" t="n">
        <v>3</v>
      </c>
      <c r="AD1234" t="n">
        <v>13</v>
      </c>
      <c r="AE1234" t="n">
        <v>13</v>
      </c>
      <c r="AF1234" t="n">
        <v>5</v>
      </c>
      <c r="AG1234" t="n">
        <v>5</v>
      </c>
      <c r="AH1234" t="n">
        <v>5</v>
      </c>
      <c r="AI1234" t="n">
        <v>5</v>
      </c>
      <c r="AJ1234" t="n">
        <v>6</v>
      </c>
      <c r="AK1234" t="n">
        <v>6</v>
      </c>
      <c r="AL1234" t="n">
        <v>2</v>
      </c>
      <c r="AM1234" t="n">
        <v>2</v>
      </c>
      <c r="AN1234" t="n">
        <v>0</v>
      </c>
      <c r="AO1234" t="n">
        <v>0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HYPERLINK("https://creighton-primo.hosted.exlibrisgroup.com/primo-explore/search?tab=default_tab&amp;search_scope=EVERYTHING&amp;vid=01CRU&amp;lang=en_US&amp;offset=0&amp;query=any,contains,991004225069702656","Catalog Record")</f>
        <v/>
      </c>
      <c r="AT1234">
        <f>HYPERLINK("http://www.worldcat.org/oclc/2726595","WorldCat Record")</f>
        <v/>
      </c>
      <c r="AU1234" t="inlineStr">
        <is>
          <t>903182430:eng</t>
        </is>
      </c>
      <c r="AV1234" t="inlineStr">
        <is>
          <t>2726595</t>
        </is>
      </c>
      <c r="AW1234" t="inlineStr">
        <is>
          <t>991004225069702656</t>
        </is>
      </c>
      <c r="AX1234" t="inlineStr">
        <is>
          <t>991004225069702656</t>
        </is>
      </c>
      <c r="AY1234" t="inlineStr">
        <is>
          <t>2268850560002656</t>
        </is>
      </c>
      <c r="AZ1234" t="inlineStr">
        <is>
          <t>BOOK</t>
        </is>
      </c>
      <c r="BB1234" t="inlineStr">
        <is>
          <t>9780404101305</t>
        </is>
      </c>
      <c r="BC1234" t="inlineStr">
        <is>
          <t>32285002233830</t>
        </is>
      </c>
      <c r="BD1234" t="inlineStr">
        <is>
          <t>893535869</t>
        </is>
      </c>
    </row>
    <row r="1235">
      <c r="A1235" t="inlineStr">
        <is>
          <t>No</t>
        </is>
      </c>
      <c r="B1235" t="inlineStr">
        <is>
          <t>BF76.5 .H47 1976</t>
        </is>
      </c>
      <c r="C1235" t="inlineStr">
        <is>
          <t>0                      BF 0076500H  47          1976</t>
        </is>
      </c>
      <c r="D1235" t="inlineStr">
        <is>
          <t>Single case experimental designs : strategies for studying behavior change / by Michel Hersen and David H. Barlow.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K1235" t="inlineStr">
        <is>
          <t>Hersen, Michel.</t>
        </is>
      </c>
      <c r="L1235" t="inlineStr">
        <is>
          <t>New York : Pergamon Press, 1976.</t>
        </is>
      </c>
      <c r="M1235" t="inlineStr">
        <is>
          <t>1976</t>
        </is>
      </c>
      <c r="N1235" t="inlineStr">
        <is>
          <t>1st ed.</t>
        </is>
      </c>
      <c r="O1235" t="inlineStr">
        <is>
          <t>eng</t>
        </is>
      </c>
      <c r="P1235" t="inlineStr">
        <is>
          <t>nyu</t>
        </is>
      </c>
      <c r="Q1235" t="inlineStr">
        <is>
          <t>Pergamon general psychology series ; 56</t>
        </is>
      </c>
      <c r="R1235" t="inlineStr">
        <is>
          <t xml:space="preserve">BF </t>
        </is>
      </c>
      <c r="S1235" t="n">
        <v>3</v>
      </c>
      <c r="T1235" t="n">
        <v>3</v>
      </c>
      <c r="U1235" t="inlineStr">
        <is>
          <t>2007-11-12</t>
        </is>
      </c>
      <c r="V1235" t="inlineStr">
        <is>
          <t>2007-11-12</t>
        </is>
      </c>
      <c r="W1235" t="inlineStr">
        <is>
          <t>1996-07-23</t>
        </is>
      </c>
      <c r="X1235" t="inlineStr">
        <is>
          <t>1996-07-23</t>
        </is>
      </c>
      <c r="Y1235" t="n">
        <v>568</v>
      </c>
      <c r="Z1235" t="n">
        <v>426</v>
      </c>
      <c r="AA1235" t="n">
        <v>626</v>
      </c>
      <c r="AB1235" t="n">
        <v>2</v>
      </c>
      <c r="AC1235" t="n">
        <v>3</v>
      </c>
      <c r="AD1235" t="n">
        <v>15</v>
      </c>
      <c r="AE1235" t="n">
        <v>26</v>
      </c>
      <c r="AF1235" t="n">
        <v>5</v>
      </c>
      <c r="AG1235" t="n">
        <v>10</v>
      </c>
      <c r="AH1235" t="n">
        <v>5</v>
      </c>
      <c r="AI1235" t="n">
        <v>8</v>
      </c>
      <c r="AJ1235" t="n">
        <v>10</v>
      </c>
      <c r="AK1235" t="n">
        <v>15</v>
      </c>
      <c r="AL1235" t="n">
        <v>0</v>
      </c>
      <c r="AM1235" t="n">
        <v>1</v>
      </c>
      <c r="AN1235" t="n">
        <v>0</v>
      </c>
      <c r="AO1235" t="n">
        <v>0</v>
      </c>
      <c r="AP1235" t="inlineStr">
        <is>
          <t>No</t>
        </is>
      </c>
      <c r="AQ1235" t="inlineStr">
        <is>
          <t>Yes</t>
        </is>
      </c>
      <c r="AR1235">
        <f>HYPERLINK("http://catalog.hathitrust.org/Record/000211950","HathiTrust Record")</f>
        <v/>
      </c>
      <c r="AS1235">
        <f>HYPERLINK("https://creighton-primo.hosted.exlibrisgroup.com/primo-explore/search?tab=default_tab&amp;search_scope=EVERYTHING&amp;vid=01CRU&amp;lang=en_US&amp;offset=0&amp;query=any,contains,991003627929702656","Catalog Record")</f>
        <v/>
      </c>
      <c r="AT1235">
        <f>HYPERLINK("http://www.worldcat.org/oclc/1218461","WorldCat Record")</f>
        <v/>
      </c>
      <c r="AU1235" t="inlineStr">
        <is>
          <t>796367844:eng</t>
        </is>
      </c>
      <c r="AV1235" t="inlineStr">
        <is>
          <t>1218461</t>
        </is>
      </c>
      <c r="AW1235" t="inlineStr">
        <is>
          <t>991003627929702656</t>
        </is>
      </c>
      <c r="AX1235" t="inlineStr">
        <is>
          <t>991003627929702656</t>
        </is>
      </c>
      <c r="AY1235" t="inlineStr">
        <is>
          <t>2271785180002656</t>
        </is>
      </c>
      <c r="AZ1235" t="inlineStr">
        <is>
          <t>BOOK</t>
        </is>
      </c>
      <c r="BB1235" t="inlineStr">
        <is>
          <t>9780080195117</t>
        </is>
      </c>
      <c r="BC1235" t="inlineStr">
        <is>
          <t>32285002233855</t>
        </is>
      </c>
      <c r="BD1235" t="inlineStr">
        <is>
          <t>893592704</t>
        </is>
      </c>
    </row>
    <row r="1236">
      <c r="A1236" t="inlineStr">
        <is>
          <t>No</t>
        </is>
      </c>
      <c r="B1236" t="inlineStr">
        <is>
          <t>BF76.5 .I8 1981</t>
        </is>
      </c>
      <c r="C1236" t="inlineStr">
        <is>
          <t>0                      BF 0076500I  8           1981</t>
        </is>
      </c>
      <c r="D1236" t="inlineStr">
        <is>
          <t>Handbook in research and evaluation : a collection of principles, methods, and strategies useful in the planning, design, and evaluation of studies in education and the behavioral sciences / Stephen Isaac and William B. Michael.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Isaac, Stephen, 1925-</t>
        </is>
      </c>
      <c r="L1236" t="inlineStr">
        <is>
          <t>San Diego, Calif. : EDITS Publishers, c1981, 1982 printing.</t>
        </is>
      </c>
      <c r="M1236" t="inlineStr">
        <is>
          <t>1981</t>
        </is>
      </c>
      <c r="N1236" t="inlineStr">
        <is>
          <t>2nd ed.</t>
        </is>
      </c>
      <c r="O1236" t="inlineStr">
        <is>
          <t>eng</t>
        </is>
      </c>
      <c r="P1236" t="inlineStr">
        <is>
          <t>cau</t>
        </is>
      </c>
      <c r="R1236" t="inlineStr">
        <is>
          <t xml:space="preserve">BF </t>
        </is>
      </c>
      <c r="S1236" t="n">
        <v>6</v>
      </c>
      <c r="T1236" t="n">
        <v>6</v>
      </c>
      <c r="U1236" t="inlineStr">
        <is>
          <t>1999-02-03</t>
        </is>
      </c>
      <c r="V1236" t="inlineStr">
        <is>
          <t>1999-02-03</t>
        </is>
      </c>
      <c r="W1236" t="inlineStr">
        <is>
          <t>1990-04-26</t>
        </is>
      </c>
      <c r="X1236" t="inlineStr">
        <is>
          <t>1990-04-26</t>
        </is>
      </c>
      <c r="Y1236" t="n">
        <v>606</v>
      </c>
      <c r="Z1236" t="n">
        <v>508</v>
      </c>
      <c r="AA1236" t="n">
        <v>972</v>
      </c>
      <c r="AB1236" t="n">
        <v>4</v>
      </c>
      <c r="AC1236" t="n">
        <v>10</v>
      </c>
      <c r="AD1236" t="n">
        <v>27</v>
      </c>
      <c r="AE1236" t="n">
        <v>43</v>
      </c>
      <c r="AF1236" t="n">
        <v>11</v>
      </c>
      <c r="AG1236" t="n">
        <v>20</v>
      </c>
      <c r="AH1236" t="n">
        <v>5</v>
      </c>
      <c r="AI1236" t="n">
        <v>8</v>
      </c>
      <c r="AJ1236" t="n">
        <v>14</v>
      </c>
      <c r="AK1236" t="n">
        <v>19</v>
      </c>
      <c r="AL1236" t="n">
        <v>3</v>
      </c>
      <c r="AM1236" t="n">
        <v>7</v>
      </c>
      <c r="AN1236" t="n">
        <v>0</v>
      </c>
      <c r="AO1236" t="n">
        <v>0</v>
      </c>
      <c r="AP1236" t="inlineStr">
        <is>
          <t>No</t>
        </is>
      </c>
      <c r="AQ1236" t="inlineStr">
        <is>
          <t>Yes</t>
        </is>
      </c>
      <c r="AR1236">
        <f>HYPERLINK("http://catalog.hathitrust.org/Record/000342275","HathiTrust Record")</f>
        <v/>
      </c>
      <c r="AS1236">
        <f>HYPERLINK("https://creighton-primo.hosted.exlibrisgroup.com/primo-explore/search?tab=default_tab&amp;search_scope=EVERYTHING&amp;vid=01CRU&amp;lang=en_US&amp;offset=0&amp;query=any,contains,991005160689702656","Catalog Record")</f>
        <v/>
      </c>
      <c r="AT1236">
        <f>HYPERLINK("http://www.worldcat.org/oclc/7782773","WorldCat Record")</f>
        <v/>
      </c>
      <c r="AU1236" t="inlineStr">
        <is>
          <t>1170900:eng</t>
        </is>
      </c>
      <c r="AV1236" t="inlineStr">
        <is>
          <t>7782773</t>
        </is>
      </c>
      <c r="AW1236" t="inlineStr">
        <is>
          <t>991005160689702656</t>
        </is>
      </c>
      <c r="AX1236" t="inlineStr">
        <is>
          <t>991005160689702656</t>
        </is>
      </c>
      <c r="AY1236" t="inlineStr">
        <is>
          <t>2265990730002656</t>
        </is>
      </c>
      <c r="AZ1236" t="inlineStr">
        <is>
          <t>BOOK</t>
        </is>
      </c>
      <c r="BB1236" t="inlineStr">
        <is>
          <t>9780912736259</t>
        </is>
      </c>
      <c r="BC1236" t="inlineStr">
        <is>
          <t>32285000133594</t>
        </is>
      </c>
      <c r="BD1236" t="inlineStr">
        <is>
          <t>893332497</t>
        </is>
      </c>
    </row>
    <row r="1237">
      <c r="A1237" t="inlineStr">
        <is>
          <t>No</t>
        </is>
      </c>
      <c r="B1237" t="inlineStr">
        <is>
          <t>BF76.5 .K32</t>
        </is>
      </c>
      <c r="C1237" t="inlineStr">
        <is>
          <t>0                      BF 0076500K  32</t>
        </is>
      </c>
      <c r="D1237" t="inlineStr">
        <is>
          <t>Research design in clinical psychology / Alan E. Kazdin.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K1237" t="inlineStr">
        <is>
          <t>Kazdin, Alan E.</t>
        </is>
      </c>
      <c r="L1237" t="inlineStr">
        <is>
          <t>New York : Harper &amp; Row, c1980.</t>
        </is>
      </c>
      <c r="M1237" t="inlineStr">
        <is>
          <t>1980</t>
        </is>
      </c>
      <c r="O1237" t="inlineStr">
        <is>
          <t>eng</t>
        </is>
      </c>
      <c r="P1237" t="inlineStr">
        <is>
          <t>nyu</t>
        </is>
      </c>
      <c r="R1237" t="inlineStr">
        <is>
          <t xml:space="preserve">BF </t>
        </is>
      </c>
      <c r="S1237" t="n">
        <v>1</v>
      </c>
      <c r="T1237" t="n">
        <v>1</v>
      </c>
      <c r="U1237" t="inlineStr">
        <is>
          <t>2009-08-19</t>
        </is>
      </c>
      <c r="V1237" t="inlineStr">
        <is>
          <t>2009-08-19</t>
        </is>
      </c>
      <c r="W1237" t="inlineStr">
        <is>
          <t>1993-03-24</t>
        </is>
      </c>
      <c r="X1237" t="inlineStr">
        <is>
          <t>1993-03-24</t>
        </is>
      </c>
      <c r="Y1237" t="n">
        <v>344</v>
      </c>
      <c r="Z1237" t="n">
        <v>240</v>
      </c>
      <c r="AA1237" t="n">
        <v>501</v>
      </c>
      <c r="AB1237" t="n">
        <v>2</v>
      </c>
      <c r="AC1237" t="n">
        <v>2</v>
      </c>
      <c r="AD1237" t="n">
        <v>11</v>
      </c>
      <c r="AE1237" t="n">
        <v>22</v>
      </c>
      <c r="AF1237" t="n">
        <v>2</v>
      </c>
      <c r="AG1237" t="n">
        <v>7</v>
      </c>
      <c r="AH1237" t="n">
        <v>4</v>
      </c>
      <c r="AI1237" t="n">
        <v>6</v>
      </c>
      <c r="AJ1237" t="n">
        <v>8</v>
      </c>
      <c r="AK1237" t="n">
        <v>16</v>
      </c>
      <c r="AL1237" t="n">
        <v>1</v>
      </c>
      <c r="AM1237" t="n">
        <v>1</v>
      </c>
      <c r="AN1237" t="n">
        <v>0</v>
      </c>
      <c r="AO1237" t="n">
        <v>0</v>
      </c>
      <c r="AP1237" t="inlineStr">
        <is>
          <t>No</t>
        </is>
      </c>
      <c r="AQ1237" t="inlineStr">
        <is>
          <t>Yes</t>
        </is>
      </c>
      <c r="AR1237">
        <f>HYPERLINK("http://catalog.hathitrust.org/Record/000691757","HathiTrust Record")</f>
        <v/>
      </c>
      <c r="AS1237">
        <f>HYPERLINK("https://creighton-primo.hosted.exlibrisgroup.com/primo-explore/search?tab=default_tab&amp;search_scope=EVERYTHING&amp;vid=01CRU&amp;lang=en_US&amp;offset=0&amp;query=any,contains,991004831509702656","Catalog Record")</f>
        <v/>
      </c>
      <c r="AT1237">
        <f>HYPERLINK("http://www.worldcat.org/oclc/5411357","WorldCat Record")</f>
        <v/>
      </c>
      <c r="AU1237" t="inlineStr">
        <is>
          <t>600706:eng</t>
        </is>
      </c>
      <c r="AV1237" t="inlineStr">
        <is>
          <t>5411357</t>
        </is>
      </c>
      <c r="AW1237" t="inlineStr">
        <is>
          <t>991004831509702656</t>
        </is>
      </c>
      <c r="AX1237" t="inlineStr">
        <is>
          <t>991004831509702656</t>
        </is>
      </c>
      <c r="AY1237" t="inlineStr">
        <is>
          <t>2256378000002656</t>
        </is>
      </c>
      <c r="AZ1237" t="inlineStr">
        <is>
          <t>BOOK</t>
        </is>
      </c>
      <c r="BB1237" t="inlineStr">
        <is>
          <t>9780397474035</t>
        </is>
      </c>
      <c r="BC1237" t="inlineStr">
        <is>
          <t>32285001590529</t>
        </is>
      </c>
      <c r="BD1237" t="inlineStr">
        <is>
          <t>893870163</t>
        </is>
      </c>
    </row>
    <row r="1238">
      <c r="A1238" t="inlineStr">
        <is>
          <t>No</t>
        </is>
      </c>
      <c r="B1238" t="inlineStr">
        <is>
          <t>BF76.5 .K33 1982</t>
        </is>
      </c>
      <c r="C1238" t="inlineStr">
        <is>
          <t>0                      BF 0076500K  33          1982</t>
        </is>
      </c>
      <c r="D1238" t="inlineStr">
        <is>
          <t>Single-case research designs : methods for clinical and applied settings / Alan E. Kazdin.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Kazdin, Alan E.</t>
        </is>
      </c>
      <c r="L1238" t="inlineStr">
        <is>
          <t>New York : Oxford University Press, 1982.</t>
        </is>
      </c>
      <c r="M1238" t="inlineStr">
        <is>
          <t>1982</t>
        </is>
      </c>
      <c r="O1238" t="inlineStr">
        <is>
          <t>eng</t>
        </is>
      </c>
      <c r="P1238" t="inlineStr">
        <is>
          <t>nyu</t>
        </is>
      </c>
      <c r="R1238" t="inlineStr">
        <is>
          <t xml:space="preserve">BF </t>
        </is>
      </c>
      <c r="S1238" t="n">
        <v>3</v>
      </c>
      <c r="T1238" t="n">
        <v>3</v>
      </c>
      <c r="U1238" t="inlineStr">
        <is>
          <t>1996-08-23</t>
        </is>
      </c>
      <c r="V1238" t="inlineStr">
        <is>
          <t>1996-08-23</t>
        </is>
      </c>
      <c r="W1238" t="inlineStr">
        <is>
          <t>1993-03-24</t>
        </is>
      </c>
      <c r="X1238" t="inlineStr">
        <is>
          <t>1993-03-24</t>
        </is>
      </c>
      <c r="Y1238" t="n">
        <v>495</v>
      </c>
      <c r="Z1238" t="n">
        <v>344</v>
      </c>
      <c r="AA1238" t="n">
        <v>473</v>
      </c>
      <c r="AB1238" t="n">
        <v>4</v>
      </c>
      <c r="AC1238" t="n">
        <v>4</v>
      </c>
      <c r="AD1238" t="n">
        <v>13</v>
      </c>
      <c r="AE1238" t="n">
        <v>21</v>
      </c>
      <c r="AF1238" t="n">
        <v>4</v>
      </c>
      <c r="AG1238" t="n">
        <v>6</v>
      </c>
      <c r="AH1238" t="n">
        <v>2</v>
      </c>
      <c r="AI1238" t="n">
        <v>4</v>
      </c>
      <c r="AJ1238" t="n">
        <v>7</v>
      </c>
      <c r="AK1238" t="n">
        <v>13</v>
      </c>
      <c r="AL1238" t="n">
        <v>3</v>
      </c>
      <c r="AM1238" t="n">
        <v>3</v>
      </c>
      <c r="AN1238" t="n">
        <v>0</v>
      </c>
      <c r="AO1238" t="n">
        <v>0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HYPERLINK("https://creighton-primo.hosted.exlibrisgroup.com/primo-explore/search?tab=default_tab&amp;search_scope=EVERYTHING&amp;vid=01CRU&amp;lang=en_US&amp;offset=0&amp;query=any,contains,991005186489702656","Catalog Record")</f>
        <v/>
      </c>
      <c r="AT1238">
        <f>HYPERLINK("http://www.worldcat.org/oclc/7976550","WorldCat Record")</f>
        <v/>
      </c>
      <c r="AU1238" t="inlineStr">
        <is>
          <t>852683028:eng</t>
        </is>
      </c>
      <c r="AV1238" t="inlineStr">
        <is>
          <t>7976550</t>
        </is>
      </c>
      <c r="AW1238" t="inlineStr">
        <is>
          <t>991005186489702656</t>
        </is>
      </c>
      <c r="AX1238" t="inlineStr">
        <is>
          <t>991005186489702656</t>
        </is>
      </c>
      <c r="AY1238" t="inlineStr">
        <is>
          <t>2262102800002656</t>
        </is>
      </c>
      <c r="AZ1238" t="inlineStr">
        <is>
          <t>BOOK</t>
        </is>
      </c>
      <c r="BB1238" t="inlineStr">
        <is>
          <t>9780195030204</t>
        </is>
      </c>
      <c r="BC1238" t="inlineStr">
        <is>
          <t>32285001590537</t>
        </is>
      </c>
      <c r="BD1238" t="inlineStr">
        <is>
          <t>893883470</t>
        </is>
      </c>
    </row>
    <row r="1239">
      <c r="A1239" t="inlineStr">
        <is>
          <t>No</t>
        </is>
      </c>
      <c r="B1239" t="inlineStr">
        <is>
          <t>BF76.5 .L47</t>
        </is>
      </c>
      <c r="C1239" t="inlineStr">
        <is>
          <t>0                      BF 0076500L  47</t>
        </is>
      </c>
      <c r="D1239" t="inlineStr">
        <is>
          <t>Understanding psychological research : the student researcher's handbook / Miriam Lewin.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K1239" t="inlineStr">
        <is>
          <t>Lewin, Miriam, 1931-</t>
        </is>
      </c>
      <c r="L1239" t="inlineStr">
        <is>
          <t>New York : Wiley, c1979.</t>
        </is>
      </c>
      <c r="M1239" t="inlineStr">
        <is>
          <t>1979</t>
        </is>
      </c>
      <c r="O1239" t="inlineStr">
        <is>
          <t>eng</t>
        </is>
      </c>
      <c r="P1239" t="inlineStr">
        <is>
          <t>nyu</t>
        </is>
      </c>
      <c r="R1239" t="inlineStr">
        <is>
          <t xml:space="preserve">BF </t>
        </is>
      </c>
      <c r="S1239" t="n">
        <v>4</v>
      </c>
      <c r="T1239" t="n">
        <v>4</v>
      </c>
      <c r="U1239" t="inlineStr">
        <is>
          <t>1998-09-27</t>
        </is>
      </c>
      <c r="V1239" t="inlineStr">
        <is>
          <t>1998-09-27</t>
        </is>
      </c>
      <c r="W1239" t="inlineStr">
        <is>
          <t>1993-03-24</t>
        </is>
      </c>
      <c r="X1239" t="inlineStr">
        <is>
          <t>1993-03-24</t>
        </is>
      </c>
      <c r="Y1239" t="n">
        <v>397</v>
      </c>
      <c r="Z1239" t="n">
        <v>280</v>
      </c>
      <c r="AA1239" t="n">
        <v>341</v>
      </c>
      <c r="AB1239" t="n">
        <v>3</v>
      </c>
      <c r="AC1239" t="n">
        <v>3</v>
      </c>
      <c r="AD1239" t="n">
        <v>8</v>
      </c>
      <c r="AE1239" t="n">
        <v>12</v>
      </c>
      <c r="AF1239" t="n">
        <v>3</v>
      </c>
      <c r="AG1239" t="n">
        <v>6</v>
      </c>
      <c r="AH1239" t="n">
        <v>0</v>
      </c>
      <c r="AI1239" t="n">
        <v>0</v>
      </c>
      <c r="AJ1239" t="n">
        <v>6</v>
      </c>
      <c r="AK1239" t="n">
        <v>7</v>
      </c>
      <c r="AL1239" t="n">
        <v>1</v>
      </c>
      <c r="AM1239" t="n">
        <v>1</v>
      </c>
      <c r="AN1239" t="n">
        <v>0</v>
      </c>
      <c r="AO1239" t="n">
        <v>0</v>
      </c>
      <c r="AP1239" t="inlineStr">
        <is>
          <t>No</t>
        </is>
      </c>
      <c r="AQ1239" t="inlineStr">
        <is>
          <t>No</t>
        </is>
      </c>
      <c r="AS1239">
        <f>HYPERLINK("https://creighton-primo.hosted.exlibrisgroup.com/primo-explore/search?tab=default_tab&amp;search_scope=EVERYTHING&amp;vid=01CRU&amp;lang=en_US&amp;offset=0&amp;query=any,contains,991004678929702656","Catalog Record")</f>
        <v/>
      </c>
      <c r="AT1239">
        <f>HYPERLINK("http://www.worldcat.org/oclc/4549940","WorldCat Record")</f>
        <v/>
      </c>
      <c r="AU1239" t="inlineStr">
        <is>
          <t>889846025:eng</t>
        </is>
      </c>
      <c r="AV1239" t="inlineStr">
        <is>
          <t>4549940</t>
        </is>
      </c>
      <c r="AW1239" t="inlineStr">
        <is>
          <t>991004678929702656</t>
        </is>
      </c>
      <c r="AX1239" t="inlineStr">
        <is>
          <t>991004678929702656</t>
        </is>
      </c>
      <c r="AY1239" t="inlineStr">
        <is>
          <t>2272463340002656</t>
        </is>
      </c>
      <c r="AZ1239" t="inlineStr">
        <is>
          <t>BOOK</t>
        </is>
      </c>
      <c r="BB1239" t="inlineStr">
        <is>
          <t>9780471658375</t>
        </is>
      </c>
      <c r="BC1239" t="inlineStr">
        <is>
          <t>32285001590545</t>
        </is>
      </c>
      <c r="BD1239" t="inlineStr">
        <is>
          <t>893229695</t>
        </is>
      </c>
    </row>
    <row r="1240">
      <c r="A1240" t="inlineStr">
        <is>
          <t>No</t>
        </is>
      </c>
      <c r="B1240" t="inlineStr">
        <is>
          <t>BF76.5 .L66</t>
        </is>
      </c>
      <c r="C1240" t="inlineStr">
        <is>
          <t>0                      BF 0076500L  66</t>
        </is>
      </c>
      <c r="D1240" t="inlineStr">
        <is>
          <t>Longitudinal research in the study of behavior and development / edited by John R. Nesselroade, Paul B. Baltes.</t>
        </is>
      </c>
      <c r="F1240" t="inlineStr">
        <is>
          <t>No</t>
        </is>
      </c>
      <c r="G1240" t="inlineStr">
        <is>
          <t>1</t>
        </is>
      </c>
      <c r="H1240" t="inlineStr">
        <is>
          <t>No</t>
        </is>
      </c>
      <c r="I1240" t="inlineStr">
        <is>
          <t>No</t>
        </is>
      </c>
      <c r="J1240" t="inlineStr">
        <is>
          <t>0</t>
        </is>
      </c>
      <c r="L1240" t="inlineStr">
        <is>
          <t>New York : Academic Press, c1979.</t>
        </is>
      </c>
      <c r="M1240" t="inlineStr">
        <is>
          <t>1979</t>
        </is>
      </c>
      <c r="O1240" t="inlineStr">
        <is>
          <t>eng</t>
        </is>
      </c>
      <c r="P1240" t="inlineStr">
        <is>
          <t>nyu</t>
        </is>
      </c>
      <c r="R1240" t="inlineStr">
        <is>
          <t xml:space="preserve">BF </t>
        </is>
      </c>
      <c r="S1240" t="n">
        <v>2</v>
      </c>
      <c r="T1240" t="n">
        <v>2</v>
      </c>
      <c r="U1240" t="inlineStr">
        <is>
          <t>2002-09-11</t>
        </is>
      </c>
      <c r="V1240" t="inlineStr">
        <is>
          <t>2002-09-11</t>
        </is>
      </c>
      <c r="W1240" t="inlineStr">
        <is>
          <t>1993-03-24</t>
        </is>
      </c>
      <c r="X1240" t="inlineStr">
        <is>
          <t>1993-03-24</t>
        </is>
      </c>
      <c r="Y1240" t="n">
        <v>481</v>
      </c>
      <c r="Z1240" t="n">
        <v>328</v>
      </c>
      <c r="AA1240" t="n">
        <v>336</v>
      </c>
      <c r="AB1240" t="n">
        <v>5</v>
      </c>
      <c r="AC1240" t="n">
        <v>5</v>
      </c>
      <c r="AD1240" t="n">
        <v>18</v>
      </c>
      <c r="AE1240" t="n">
        <v>18</v>
      </c>
      <c r="AF1240" t="n">
        <v>4</v>
      </c>
      <c r="AG1240" t="n">
        <v>4</v>
      </c>
      <c r="AH1240" t="n">
        <v>5</v>
      </c>
      <c r="AI1240" t="n">
        <v>5</v>
      </c>
      <c r="AJ1240" t="n">
        <v>11</v>
      </c>
      <c r="AK1240" t="n">
        <v>11</v>
      </c>
      <c r="AL1240" t="n">
        <v>3</v>
      </c>
      <c r="AM1240" t="n">
        <v>3</v>
      </c>
      <c r="AN1240" t="n">
        <v>0</v>
      </c>
      <c r="AO1240" t="n">
        <v>0</v>
      </c>
      <c r="AP1240" t="inlineStr">
        <is>
          <t>Yes</t>
        </is>
      </c>
      <c r="AQ1240" t="inlineStr">
        <is>
          <t>No</t>
        </is>
      </c>
      <c r="AR1240">
        <f>HYPERLINK("http://catalog.hathitrust.org/Record/000029077","HathiTrust Record")</f>
        <v/>
      </c>
      <c r="AS1240">
        <f>HYPERLINK("https://creighton-primo.hosted.exlibrisgroup.com/primo-explore/search?tab=default_tab&amp;search_scope=EVERYTHING&amp;vid=01CRU&amp;lang=en_US&amp;offset=0&amp;query=any,contains,991004847129702656","Catalog Record")</f>
        <v/>
      </c>
      <c r="AT1240">
        <f>HYPERLINK("http://www.worldcat.org/oclc/5565023","WorldCat Record")</f>
        <v/>
      </c>
      <c r="AU1240" t="inlineStr">
        <is>
          <t>351182045:eng</t>
        </is>
      </c>
      <c r="AV1240" t="inlineStr">
        <is>
          <t>5565023</t>
        </is>
      </c>
      <c r="AW1240" t="inlineStr">
        <is>
          <t>991004847129702656</t>
        </is>
      </c>
      <c r="AX1240" t="inlineStr">
        <is>
          <t>991004847129702656</t>
        </is>
      </c>
      <c r="AY1240" t="inlineStr">
        <is>
          <t>2268414090002656</t>
        </is>
      </c>
      <c r="AZ1240" t="inlineStr">
        <is>
          <t>BOOK</t>
        </is>
      </c>
      <c r="BB1240" t="inlineStr">
        <is>
          <t>9780125156608</t>
        </is>
      </c>
      <c r="BC1240" t="inlineStr">
        <is>
          <t>32285001590552</t>
        </is>
      </c>
      <c r="BD1240" t="inlineStr">
        <is>
          <t>893248058</t>
        </is>
      </c>
    </row>
    <row r="1241">
      <c r="A1241" t="inlineStr">
        <is>
          <t>No</t>
        </is>
      </c>
      <c r="B1241" t="inlineStr">
        <is>
          <t>BF76.5 .M44 1981</t>
        </is>
      </c>
      <c r="C1241" t="inlineStr">
        <is>
          <t>0                      BF 0076500M  44          1981</t>
        </is>
      </c>
      <c r="D1241" t="inlineStr">
        <is>
          <t>Behavioral research and government policy : civilian and military R&amp;D / David Meister.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Meister, David.</t>
        </is>
      </c>
      <c r="L1241" t="inlineStr">
        <is>
          <t>New York : Pergamon Press, c1981.</t>
        </is>
      </c>
      <c r="M1241" t="inlineStr">
        <is>
          <t>1981</t>
        </is>
      </c>
      <c r="O1241" t="inlineStr">
        <is>
          <t>eng</t>
        </is>
      </c>
      <c r="P1241" t="inlineStr">
        <is>
          <t>nyu</t>
        </is>
      </c>
      <c r="Q1241" t="inlineStr">
        <is>
          <t>Pergamon policy studies on science policy</t>
        </is>
      </c>
      <c r="R1241" t="inlineStr">
        <is>
          <t xml:space="preserve">BF </t>
        </is>
      </c>
      <c r="S1241" t="n">
        <v>2</v>
      </c>
      <c r="T1241" t="n">
        <v>2</v>
      </c>
      <c r="U1241" t="inlineStr">
        <is>
          <t>1993-04-14</t>
        </is>
      </c>
      <c r="V1241" t="inlineStr">
        <is>
          <t>1993-04-14</t>
        </is>
      </c>
      <c r="W1241" t="inlineStr">
        <is>
          <t>1993-03-24</t>
        </is>
      </c>
      <c r="X1241" t="inlineStr">
        <is>
          <t>1993-03-24</t>
        </is>
      </c>
      <c r="Y1241" t="n">
        <v>223</v>
      </c>
      <c r="Z1241" t="n">
        <v>170</v>
      </c>
      <c r="AA1241" t="n">
        <v>210</v>
      </c>
      <c r="AB1241" t="n">
        <v>2</v>
      </c>
      <c r="AC1241" t="n">
        <v>3</v>
      </c>
      <c r="AD1241" t="n">
        <v>5</v>
      </c>
      <c r="AE1241" t="n">
        <v>9</v>
      </c>
      <c r="AF1241" t="n">
        <v>0</v>
      </c>
      <c r="AG1241" t="n">
        <v>2</v>
      </c>
      <c r="AH1241" t="n">
        <v>2</v>
      </c>
      <c r="AI1241" t="n">
        <v>4</v>
      </c>
      <c r="AJ1241" t="n">
        <v>3</v>
      </c>
      <c r="AK1241" t="n">
        <v>3</v>
      </c>
      <c r="AL1241" t="n">
        <v>1</v>
      </c>
      <c r="AM1241" t="n">
        <v>2</v>
      </c>
      <c r="AN1241" t="n">
        <v>0</v>
      </c>
      <c r="AO1241" t="n">
        <v>0</v>
      </c>
      <c r="AP1241" t="inlineStr">
        <is>
          <t>No</t>
        </is>
      </c>
      <c r="AQ1241" t="inlineStr">
        <is>
          <t>Yes</t>
        </is>
      </c>
      <c r="AR1241">
        <f>HYPERLINK("http://catalog.hathitrust.org/Record/000182996","HathiTrust Record")</f>
        <v/>
      </c>
      <c r="AS1241">
        <f>HYPERLINK("https://creighton-primo.hosted.exlibrisgroup.com/primo-explore/search?tab=default_tab&amp;search_scope=EVERYTHING&amp;vid=01CRU&amp;lang=en_US&amp;offset=0&amp;query=any,contains,991005129109702656","Catalog Record")</f>
        <v/>
      </c>
      <c r="AT1241">
        <f>HYPERLINK("http://www.worldcat.org/oclc/7555847","WorldCat Record")</f>
        <v/>
      </c>
      <c r="AU1241" t="inlineStr">
        <is>
          <t>896419595:eng</t>
        </is>
      </c>
      <c r="AV1241" t="inlineStr">
        <is>
          <t>7555847</t>
        </is>
      </c>
      <c r="AW1241" t="inlineStr">
        <is>
          <t>991005129109702656</t>
        </is>
      </c>
      <c r="AX1241" t="inlineStr">
        <is>
          <t>991005129109702656</t>
        </is>
      </c>
      <c r="AY1241" t="inlineStr">
        <is>
          <t>2266256920002656</t>
        </is>
      </c>
      <c r="AZ1241" t="inlineStr">
        <is>
          <t>BOOK</t>
        </is>
      </c>
      <c r="BB1241" t="inlineStr">
        <is>
          <t>9780080246598</t>
        </is>
      </c>
      <c r="BC1241" t="inlineStr">
        <is>
          <t>32285001590586</t>
        </is>
      </c>
      <c r="BD1241" t="inlineStr">
        <is>
          <t>893443443</t>
        </is>
      </c>
    </row>
    <row r="1242">
      <c r="A1242" t="inlineStr">
        <is>
          <t>No</t>
        </is>
      </c>
      <c r="B1242" t="inlineStr">
        <is>
          <t>BF76.5 .M48 1978</t>
        </is>
      </c>
      <c r="C1242" t="inlineStr">
        <is>
          <t>0                      BF 0076500M  48          1978</t>
        </is>
      </c>
      <c r="D1242" t="inlineStr">
        <is>
          <t>Behavioral research : theory, procedure, and design / Lawrence S. Meyers and Neal E. Grossen.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K1242" t="inlineStr">
        <is>
          <t>Meyers, Lawrence S.</t>
        </is>
      </c>
      <c r="L1242" t="inlineStr">
        <is>
          <t>San Francisco : W. H. Freeman, c1978.</t>
        </is>
      </c>
      <c r="M1242" t="inlineStr">
        <is>
          <t>1978</t>
        </is>
      </c>
      <c r="N1242" t="inlineStr">
        <is>
          <t>2d ed.</t>
        </is>
      </c>
      <c r="O1242" t="inlineStr">
        <is>
          <t>eng</t>
        </is>
      </c>
      <c r="P1242" t="inlineStr">
        <is>
          <t>cau</t>
        </is>
      </c>
      <c r="Q1242" t="inlineStr">
        <is>
          <t>A Series of books in psychology</t>
        </is>
      </c>
      <c r="R1242" t="inlineStr">
        <is>
          <t xml:space="preserve">BF </t>
        </is>
      </c>
      <c r="S1242" t="n">
        <v>4</v>
      </c>
      <c r="T1242" t="n">
        <v>4</v>
      </c>
      <c r="U1242" t="inlineStr">
        <is>
          <t>1994-12-03</t>
        </is>
      </c>
      <c r="V1242" t="inlineStr">
        <is>
          <t>1994-12-03</t>
        </is>
      </c>
      <c r="W1242" t="inlineStr">
        <is>
          <t>1993-03-24</t>
        </is>
      </c>
      <c r="X1242" t="inlineStr">
        <is>
          <t>1993-03-24</t>
        </is>
      </c>
      <c r="Y1242" t="n">
        <v>277</v>
      </c>
      <c r="Z1242" t="n">
        <v>188</v>
      </c>
      <c r="AA1242" t="n">
        <v>462</v>
      </c>
      <c r="AB1242" t="n">
        <v>1</v>
      </c>
      <c r="AC1242" t="n">
        <v>3</v>
      </c>
      <c r="AD1242" t="n">
        <v>6</v>
      </c>
      <c r="AE1242" t="n">
        <v>15</v>
      </c>
      <c r="AF1242" t="n">
        <v>2</v>
      </c>
      <c r="AG1242" t="n">
        <v>3</v>
      </c>
      <c r="AH1242" t="n">
        <v>1</v>
      </c>
      <c r="AI1242" t="n">
        <v>2</v>
      </c>
      <c r="AJ1242" t="n">
        <v>5</v>
      </c>
      <c r="AK1242" t="n">
        <v>12</v>
      </c>
      <c r="AL1242" t="n">
        <v>0</v>
      </c>
      <c r="AM1242" t="n">
        <v>2</v>
      </c>
      <c r="AN1242" t="n">
        <v>0</v>
      </c>
      <c r="AO1242" t="n">
        <v>0</v>
      </c>
      <c r="AP1242" t="inlineStr">
        <is>
          <t>No</t>
        </is>
      </c>
      <c r="AQ1242" t="inlineStr">
        <is>
          <t>No</t>
        </is>
      </c>
      <c r="AS1242">
        <f>HYPERLINK("https://creighton-primo.hosted.exlibrisgroup.com/primo-explore/search?tab=default_tab&amp;search_scope=EVERYTHING&amp;vid=01CRU&amp;lang=en_US&amp;offset=0&amp;query=any,contains,991004498159702656","Catalog Record")</f>
        <v/>
      </c>
      <c r="AT1242">
        <f>HYPERLINK("http://www.worldcat.org/oclc/3706790","WorldCat Record")</f>
        <v/>
      </c>
      <c r="AU1242" t="inlineStr">
        <is>
          <t>1675479:eng</t>
        </is>
      </c>
      <c r="AV1242" t="inlineStr">
        <is>
          <t>3706790</t>
        </is>
      </c>
      <c r="AW1242" t="inlineStr">
        <is>
          <t>991004498159702656</t>
        </is>
      </c>
      <c r="AX1242" t="inlineStr">
        <is>
          <t>991004498159702656</t>
        </is>
      </c>
      <c r="AY1242" t="inlineStr">
        <is>
          <t>2265027220002656</t>
        </is>
      </c>
      <c r="AZ1242" t="inlineStr">
        <is>
          <t>BOOK</t>
        </is>
      </c>
      <c r="BB1242" t="inlineStr">
        <is>
          <t>9780716700494</t>
        </is>
      </c>
      <c r="BC1242" t="inlineStr">
        <is>
          <t>32285001590594</t>
        </is>
      </c>
      <c r="BD1242" t="inlineStr">
        <is>
          <t>893895061</t>
        </is>
      </c>
    </row>
    <row r="1243">
      <c r="A1243" t="inlineStr">
        <is>
          <t>No</t>
        </is>
      </c>
      <c r="B1243" t="inlineStr">
        <is>
          <t>BF76.5 .R63</t>
        </is>
      </c>
      <c r="C1243" t="inlineStr">
        <is>
          <t>0                      BF 0076500R  63</t>
        </is>
      </c>
      <c r="D1243" t="inlineStr">
        <is>
          <t>Experimenter effects in behavioral research.</t>
        </is>
      </c>
      <c r="F1243" t="inlineStr">
        <is>
          <t>No</t>
        </is>
      </c>
      <c r="G1243" t="inlineStr">
        <is>
          <t>1</t>
        </is>
      </c>
      <c r="H1243" t="inlineStr">
        <is>
          <t>No</t>
        </is>
      </c>
      <c r="I1243" t="inlineStr">
        <is>
          <t>No</t>
        </is>
      </c>
      <c r="J1243" t="inlineStr">
        <is>
          <t>0</t>
        </is>
      </c>
      <c r="K1243" t="inlineStr">
        <is>
          <t>Rosenthal, Robert, 1933-</t>
        </is>
      </c>
      <c r="L1243" t="inlineStr">
        <is>
          <t>New York, Appleton-Century-Crofts [1966]</t>
        </is>
      </c>
      <c r="M1243" t="inlineStr">
        <is>
          <t>1966</t>
        </is>
      </c>
      <c r="O1243" t="inlineStr">
        <is>
          <t>eng</t>
        </is>
      </c>
      <c r="P1243" t="inlineStr">
        <is>
          <t>nyu</t>
        </is>
      </c>
      <c r="Q1243" t="inlineStr">
        <is>
          <t>The Century psychology series</t>
        </is>
      </c>
      <c r="R1243" t="inlineStr">
        <is>
          <t xml:space="preserve">BF </t>
        </is>
      </c>
      <c r="S1243" t="n">
        <v>3</v>
      </c>
      <c r="T1243" t="n">
        <v>3</v>
      </c>
      <c r="U1243" t="inlineStr">
        <is>
          <t>1999-02-17</t>
        </is>
      </c>
      <c r="V1243" t="inlineStr">
        <is>
          <t>1999-02-17</t>
        </is>
      </c>
      <c r="W1243" t="inlineStr">
        <is>
          <t>1996-07-23</t>
        </is>
      </c>
      <c r="X1243" t="inlineStr">
        <is>
          <t>1996-07-23</t>
        </is>
      </c>
      <c r="Y1243" t="n">
        <v>605</v>
      </c>
      <c r="Z1243" t="n">
        <v>479</v>
      </c>
      <c r="AA1243" t="n">
        <v>728</v>
      </c>
      <c r="AB1243" t="n">
        <v>2</v>
      </c>
      <c r="AC1243" t="n">
        <v>4</v>
      </c>
      <c r="AD1243" t="n">
        <v>21</v>
      </c>
      <c r="AE1243" t="n">
        <v>31</v>
      </c>
      <c r="AF1243" t="n">
        <v>9</v>
      </c>
      <c r="AG1243" t="n">
        <v>14</v>
      </c>
      <c r="AH1243" t="n">
        <v>7</v>
      </c>
      <c r="AI1243" t="n">
        <v>9</v>
      </c>
      <c r="AJ1243" t="n">
        <v>13</v>
      </c>
      <c r="AK1243" t="n">
        <v>17</v>
      </c>
      <c r="AL1243" t="n">
        <v>1</v>
      </c>
      <c r="AM1243" t="n">
        <v>2</v>
      </c>
      <c r="AN1243" t="n">
        <v>0</v>
      </c>
      <c r="AO1243" t="n">
        <v>0</v>
      </c>
      <c r="AP1243" t="inlineStr">
        <is>
          <t>No</t>
        </is>
      </c>
      <c r="AQ1243" t="inlineStr">
        <is>
          <t>Yes</t>
        </is>
      </c>
      <c r="AR1243">
        <f>HYPERLINK("http://catalog.hathitrust.org/Record/000002780","HathiTrust Record")</f>
        <v/>
      </c>
      <c r="AS1243">
        <f>HYPERLINK("https://creighton-primo.hosted.exlibrisgroup.com/primo-explore/search?tab=default_tab&amp;search_scope=EVERYTHING&amp;vid=01CRU&amp;lang=en_US&amp;offset=0&amp;query=any,contains,991001197329702656","Catalog Record")</f>
        <v/>
      </c>
      <c r="AT1243">
        <f>HYPERLINK("http://www.worldcat.org/oclc/191335","WorldCat Record")</f>
        <v/>
      </c>
      <c r="AU1243" t="inlineStr">
        <is>
          <t>1351070:eng</t>
        </is>
      </c>
      <c r="AV1243" t="inlineStr">
        <is>
          <t>191335</t>
        </is>
      </c>
      <c r="AW1243" t="inlineStr">
        <is>
          <t>991001197329702656</t>
        </is>
      </c>
      <c r="AX1243" t="inlineStr">
        <is>
          <t>991001197329702656</t>
        </is>
      </c>
      <c r="AY1243" t="inlineStr">
        <is>
          <t>2258836490002656</t>
        </is>
      </c>
      <c r="AZ1243" t="inlineStr">
        <is>
          <t>BOOK</t>
        </is>
      </c>
      <c r="BC1243" t="inlineStr">
        <is>
          <t>32285002233905</t>
        </is>
      </c>
      <c r="BD1243" t="inlineStr">
        <is>
          <t>893237933</t>
        </is>
      </c>
    </row>
    <row r="1244">
      <c r="A1244" t="inlineStr">
        <is>
          <t>No</t>
        </is>
      </c>
      <c r="B1244" t="inlineStr">
        <is>
          <t>BF76.6.I5 K3 1999</t>
        </is>
      </c>
      <c r="C1244" t="inlineStr">
        <is>
          <t>0                      BF 0076600I  5                  K  3           1999</t>
        </is>
      </c>
      <c r="D1244" t="inlineStr">
        <is>
          <t>Psychology resources on the world wide web / Edward P. Kardas.</t>
        </is>
      </c>
      <c r="F1244" t="inlineStr">
        <is>
          <t>No</t>
        </is>
      </c>
      <c r="G1244" t="inlineStr">
        <is>
          <t>1</t>
        </is>
      </c>
      <c r="H1244" t="inlineStr">
        <is>
          <t>No</t>
        </is>
      </c>
      <c r="I1244" t="inlineStr">
        <is>
          <t>No</t>
        </is>
      </c>
      <c r="J1244" t="inlineStr">
        <is>
          <t>0</t>
        </is>
      </c>
      <c r="K1244" t="inlineStr">
        <is>
          <t>Kardas, Edward P., 1949-</t>
        </is>
      </c>
      <c r="L1244" t="inlineStr">
        <is>
          <t>Pacific Grove, CA : Brooks/Cole Publishing Co., c1999.</t>
        </is>
      </c>
      <c r="M1244" t="inlineStr">
        <is>
          <t>1999</t>
        </is>
      </c>
      <c r="O1244" t="inlineStr">
        <is>
          <t>eng</t>
        </is>
      </c>
      <c r="P1244" t="inlineStr">
        <is>
          <t>cau</t>
        </is>
      </c>
      <c r="R1244" t="inlineStr">
        <is>
          <t xml:space="preserve">BF </t>
        </is>
      </c>
      <c r="S1244" t="n">
        <v>4</v>
      </c>
      <c r="T1244" t="n">
        <v>4</v>
      </c>
      <c r="U1244" t="inlineStr">
        <is>
          <t>1998-12-05</t>
        </is>
      </c>
      <c r="V1244" t="inlineStr">
        <is>
          <t>1998-12-05</t>
        </is>
      </c>
      <c r="W1244" t="inlineStr">
        <is>
          <t>1998-11-12</t>
        </is>
      </c>
      <c r="X1244" t="inlineStr">
        <is>
          <t>1998-11-12</t>
        </is>
      </c>
      <c r="Y1244" t="n">
        <v>98</v>
      </c>
      <c r="Z1244" t="n">
        <v>58</v>
      </c>
      <c r="AA1244" t="n">
        <v>62</v>
      </c>
      <c r="AB1244" t="n">
        <v>1</v>
      </c>
      <c r="AC1244" t="n">
        <v>1</v>
      </c>
      <c r="AD1244" t="n">
        <v>3</v>
      </c>
      <c r="AE1244" t="n">
        <v>3</v>
      </c>
      <c r="AF1244" t="n">
        <v>1</v>
      </c>
      <c r="AG1244" t="n">
        <v>1</v>
      </c>
      <c r="AH1244" t="n">
        <v>0</v>
      </c>
      <c r="AI1244" t="n">
        <v>0</v>
      </c>
      <c r="AJ1244" t="n">
        <v>2</v>
      </c>
      <c r="AK1244" t="n">
        <v>2</v>
      </c>
      <c r="AL1244" t="n">
        <v>0</v>
      </c>
      <c r="AM1244" t="n">
        <v>0</v>
      </c>
      <c r="AN1244" t="n">
        <v>0</v>
      </c>
      <c r="AO1244" t="n">
        <v>0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HYPERLINK("https://creighton-primo.hosted.exlibrisgroup.com/primo-explore/search?tab=default_tab&amp;search_scope=EVERYTHING&amp;vid=01CRU&amp;lang=en_US&amp;offset=0&amp;query=any,contains,991004662209702656","Catalog Record")</f>
        <v/>
      </c>
      <c r="AT1244">
        <f>HYPERLINK("http://www.worldcat.org/oclc/39946428","WorldCat Record")</f>
        <v/>
      </c>
      <c r="AU1244" t="inlineStr">
        <is>
          <t>42620507:eng</t>
        </is>
      </c>
      <c r="AV1244" t="inlineStr">
        <is>
          <t>39946428</t>
        </is>
      </c>
      <c r="AW1244" t="inlineStr">
        <is>
          <t>991004662209702656</t>
        </is>
      </c>
      <c r="AX1244" t="inlineStr">
        <is>
          <t>991004662209702656</t>
        </is>
      </c>
      <c r="AY1244" t="inlineStr">
        <is>
          <t>2264738070002656</t>
        </is>
      </c>
      <c r="AZ1244" t="inlineStr">
        <is>
          <t>BOOK</t>
        </is>
      </c>
      <c r="BB1244" t="inlineStr">
        <is>
          <t>9780534359416</t>
        </is>
      </c>
      <c r="BC1244" t="inlineStr">
        <is>
          <t>32285003480380</t>
        </is>
      </c>
      <c r="BD1244" t="inlineStr">
        <is>
          <t>893241702</t>
        </is>
      </c>
    </row>
    <row r="1245">
      <c r="A1245" t="inlineStr">
        <is>
          <t>No</t>
        </is>
      </c>
      <c r="B1245" t="inlineStr">
        <is>
          <t>BF76.6.I57 F73 2004</t>
        </is>
      </c>
      <c r="C1245" t="inlineStr">
        <is>
          <t>0                      BF 0076600I  57                 F  73          2004</t>
        </is>
      </c>
      <c r="D1245" t="inlineStr">
        <is>
          <t>How to conduct behavioral research over the internet : a beginner's guide to HTML and CGI/Perl / R. Chris Fraley.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K1245" t="inlineStr">
        <is>
          <t>Fraley, R. Chris.</t>
        </is>
      </c>
      <c r="L1245" t="inlineStr">
        <is>
          <t>New York : Guilford Press, c2004.</t>
        </is>
      </c>
      <c r="M1245" t="inlineStr">
        <is>
          <t>2004</t>
        </is>
      </c>
      <c r="O1245" t="inlineStr">
        <is>
          <t>eng</t>
        </is>
      </c>
      <c r="P1245" t="inlineStr">
        <is>
          <t>nyu</t>
        </is>
      </c>
      <c r="Q1245" t="inlineStr">
        <is>
          <t>Methodology in the social sciences</t>
        </is>
      </c>
      <c r="R1245" t="inlineStr">
        <is>
          <t xml:space="preserve">BF </t>
        </is>
      </c>
      <c r="S1245" t="n">
        <v>2</v>
      </c>
      <c r="T1245" t="n">
        <v>2</v>
      </c>
      <c r="U1245" t="inlineStr">
        <is>
          <t>2004-10-13</t>
        </is>
      </c>
      <c r="V1245" t="inlineStr">
        <is>
          <t>2004-10-13</t>
        </is>
      </c>
      <c r="W1245" t="inlineStr">
        <is>
          <t>2004-09-29</t>
        </is>
      </c>
      <c r="X1245" t="inlineStr">
        <is>
          <t>2004-09-29</t>
        </is>
      </c>
      <c r="Y1245" t="n">
        <v>396</v>
      </c>
      <c r="Z1245" t="n">
        <v>326</v>
      </c>
      <c r="AA1245" t="n">
        <v>345</v>
      </c>
      <c r="AB1245" t="n">
        <v>3</v>
      </c>
      <c r="AC1245" t="n">
        <v>3</v>
      </c>
      <c r="AD1245" t="n">
        <v>17</v>
      </c>
      <c r="AE1245" t="n">
        <v>17</v>
      </c>
      <c r="AF1245" t="n">
        <v>7</v>
      </c>
      <c r="AG1245" t="n">
        <v>7</v>
      </c>
      <c r="AH1245" t="n">
        <v>4</v>
      </c>
      <c r="AI1245" t="n">
        <v>4</v>
      </c>
      <c r="AJ1245" t="n">
        <v>11</v>
      </c>
      <c r="AK1245" t="n">
        <v>11</v>
      </c>
      <c r="AL1245" t="n">
        <v>2</v>
      </c>
      <c r="AM1245" t="n">
        <v>2</v>
      </c>
      <c r="AN1245" t="n">
        <v>0</v>
      </c>
      <c r="AO1245" t="n">
        <v>0</v>
      </c>
      <c r="AP1245" t="inlineStr">
        <is>
          <t>No</t>
        </is>
      </c>
      <c r="AQ1245" t="inlineStr">
        <is>
          <t>No</t>
        </is>
      </c>
      <c r="AS1245">
        <f>HYPERLINK("https://creighton-primo.hosted.exlibrisgroup.com/primo-explore/search?tab=default_tab&amp;search_scope=EVERYTHING&amp;vid=01CRU&amp;lang=en_US&amp;offset=0&amp;query=any,contains,991004361209702656","Catalog Record")</f>
        <v/>
      </c>
      <c r="AT1245">
        <f>HYPERLINK("http://www.worldcat.org/oclc/53954180","WorldCat Record")</f>
        <v/>
      </c>
      <c r="AU1245" t="inlineStr">
        <is>
          <t>800141861:eng</t>
        </is>
      </c>
      <c r="AV1245" t="inlineStr">
        <is>
          <t>53954180</t>
        </is>
      </c>
      <c r="AW1245" t="inlineStr">
        <is>
          <t>991004361209702656</t>
        </is>
      </c>
      <c r="AX1245" t="inlineStr">
        <is>
          <t>991004361209702656</t>
        </is>
      </c>
      <c r="AY1245" t="inlineStr">
        <is>
          <t>2255422000002656</t>
        </is>
      </c>
      <c r="AZ1245" t="inlineStr">
        <is>
          <t>BOOK</t>
        </is>
      </c>
      <c r="BB1245" t="inlineStr">
        <is>
          <t>9781572309975</t>
        </is>
      </c>
      <c r="BC1245" t="inlineStr">
        <is>
          <t>32285004989751</t>
        </is>
      </c>
      <c r="BD1245" t="inlineStr">
        <is>
          <t>893706311</t>
        </is>
      </c>
    </row>
    <row r="1246">
      <c r="A1246" t="inlineStr">
        <is>
          <t>No</t>
        </is>
      </c>
      <c r="B1246" t="inlineStr">
        <is>
          <t>BF76.6.O27 S84 1989</t>
        </is>
      </c>
      <c r="C1246" t="inlineStr">
        <is>
          <t>0                      BF 0076600O  27                 S  84          1989</t>
        </is>
      </c>
      <c r="D1246" t="inlineStr">
        <is>
          <t>Analyzing quantitative behavioral observation data / Hoi K. Suen and Donald Ary.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Suen, Hoi K.</t>
        </is>
      </c>
      <c r="L1246" t="inlineStr">
        <is>
          <t>Hillsdale, NJ : L. Erlbaum, c1989.</t>
        </is>
      </c>
      <c r="M1246" t="inlineStr">
        <is>
          <t>1989</t>
        </is>
      </c>
      <c r="O1246" t="inlineStr">
        <is>
          <t>eng</t>
        </is>
      </c>
      <c r="P1246" t="inlineStr">
        <is>
          <t>nju</t>
        </is>
      </c>
      <c r="R1246" t="inlineStr">
        <is>
          <t xml:space="preserve">BF </t>
        </is>
      </c>
      <c r="S1246" t="n">
        <v>2</v>
      </c>
      <c r="T1246" t="n">
        <v>2</v>
      </c>
      <c r="U1246" t="inlineStr">
        <is>
          <t>1995-05-24</t>
        </is>
      </c>
      <c r="V1246" t="inlineStr">
        <is>
          <t>1995-05-24</t>
        </is>
      </c>
      <c r="W1246" t="inlineStr">
        <is>
          <t>1995-05-10</t>
        </is>
      </c>
      <c r="X1246" t="inlineStr">
        <is>
          <t>1995-05-10</t>
        </is>
      </c>
      <c r="Y1246" t="n">
        <v>315</v>
      </c>
      <c r="Z1246" t="n">
        <v>256</v>
      </c>
      <c r="AA1246" t="n">
        <v>293</v>
      </c>
      <c r="AB1246" t="n">
        <v>3</v>
      </c>
      <c r="AC1246" t="n">
        <v>3</v>
      </c>
      <c r="AD1246" t="n">
        <v>13</v>
      </c>
      <c r="AE1246" t="n">
        <v>13</v>
      </c>
      <c r="AF1246" t="n">
        <v>3</v>
      </c>
      <c r="AG1246" t="n">
        <v>3</v>
      </c>
      <c r="AH1246" t="n">
        <v>3</v>
      </c>
      <c r="AI1246" t="n">
        <v>3</v>
      </c>
      <c r="AJ1246" t="n">
        <v>10</v>
      </c>
      <c r="AK1246" t="n">
        <v>10</v>
      </c>
      <c r="AL1246" t="n">
        <v>2</v>
      </c>
      <c r="AM1246" t="n">
        <v>2</v>
      </c>
      <c r="AN1246" t="n">
        <v>0</v>
      </c>
      <c r="AO1246" t="n">
        <v>0</v>
      </c>
      <c r="AP1246" t="inlineStr">
        <is>
          <t>No</t>
        </is>
      </c>
      <c r="AQ1246" t="inlineStr">
        <is>
          <t>Yes</t>
        </is>
      </c>
      <c r="AR1246">
        <f>HYPERLINK("http://catalog.hathitrust.org/Record/001289495","HathiTrust Record")</f>
        <v/>
      </c>
      <c r="AS1246">
        <f>HYPERLINK("https://creighton-primo.hosted.exlibrisgroup.com/primo-explore/search?tab=default_tab&amp;search_scope=EVERYTHING&amp;vid=01CRU&amp;lang=en_US&amp;offset=0&amp;query=any,contains,991001229979702656","Catalog Record")</f>
        <v/>
      </c>
      <c r="AT1246">
        <f>HYPERLINK("http://www.worldcat.org/oclc/17546141","WorldCat Record")</f>
        <v/>
      </c>
      <c r="AU1246" t="inlineStr">
        <is>
          <t>16110161:eng</t>
        </is>
      </c>
      <c r="AV1246" t="inlineStr">
        <is>
          <t>17546141</t>
        </is>
      </c>
      <c r="AW1246" t="inlineStr">
        <is>
          <t>991001229979702656</t>
        </is>
      </c>
      <c r="AX1246" t="inlineStr">
        <is>
          <t>991001229979702656</t>
        </is>
      </c>
      <c r="AY1246" t="inlineStr">
        <is>
          <t>2267976070002656</t>
        </is>
      </c>
      <c r="AZ1246" t="inlineStr">
        <is>
          <t>BOOK</t>
        </is>
      </c>
      <c r="BB1246" t="inlineStr">
        <is>
          <t>9780824090760</t>
        </is>
      </c>
      <c r="BC1246" t="inlineStr">
        <is>
          <t>32285002038858</t>
        </is>
      </c>
      <c r="BD1246" t="inlineStr">
        <is>
          <t>893772420</t>
        </is>
      </c>
    </row>
    <row r="1247">
      <c r="A1247" t="inlineStr">
        <is>
          <t>No</t>
        </is>
      </c>
      <c r="B1247" t="inlineStr">
        <is>
          <t>BF76.8 .E4</t>
        </is>
      </c>
      <c r="C1247" t="inlineStr">
        <is>
          <t>0                      BF 0076800E  4</t>
        </is>
      </c>
      <c r="D1247" t="inlineStr">
        <is>
          <t>A guide to the documentation of psychology [by] C. K. Elliott.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Elliott, C. K. (Charles Kenneth)</t>
        </is>
      </c>
      <c r="L1247" t="inlineStr">
        <is>
          <t>[Hamden, Conn.] Linnet Books [1971]</t>
        </is>
      </c>
      <c r="M1247" t="inlineStr">
        <is>
          <t>1971</t>
        </is>
      </c>
      <c r="O1247" t="inlineStr">
        <is>
          <t>eng</t>
        </is>
      </c>
      <c r="P1247" t="inlineStr">
        <is>
          <t>ctu</t>
        </is>
      </c>
      <c r="R1247" t="inlineStr">
        <is>
          <t xml:space="preserve">BF </t>
        </is>
      </c>
      <c r="S1247" t="n">
        <v>1</v>
      </c>
      <c r="T1247" t="n">
        <v>1</v>
      </c>
      <c r="U1247" t="inlineStr">
        <is>
          <t>2003-02-21</t>
        </is>
      </c>
      <c r="V1247" t="inlineStr">
        <is>
          <t>2003-02-21</t>
        </is>
      </c>
      <c r="W1247" t="inlineStr">
        <is>
          <t>1996-07-23</t>
        </is>
      </c>
      <c r="X1247" t="inlineStr">
        <is>
          <t>1996-07-23</t>
        </is>
      </c>
      <c r="Y1247" t="n">
        <v>258</v>
      </c>
      <c r="Z1247" t="n">
        <v>219</v>
      </c>
      <c r="AA1247" t="n">
        <v>272</v>
      </c>
      <c r="AB1247" t="n">
        <v>3</v>
      </c>
      <c r="AC1247" t="n">
        <v>3</v>
      </c>
      <c r="AD1247" t="n">
        <v>10</v>
      </c>
      <c r="AE1247" t="n">
        <v>12</v>
      </c>
      <c r="AF1247" t="n">
        <v>2</v>
      </c>
      <c r="AG1247" t="n">
        <v>3</v>
      </c>
      <c r="AH1247" t="n">
        <v>2</v>
      </c>
      <c r="AI1247" t="n">
        <v>2</v>
      </c>
      <c r="AJ1247" t="n">
        <v>4</v>
      </c>
      <c r="AK1247" t="n">
        <v>6</v>
      </c>
      <c r="AL1247" t="n">
        <v>2</v>
      </c>
      <c r="AM1247" t="n">
        <v>2</v>
      </c>
      <c r="AN1247" t="n">
        <v>0</v>
      </c>
      <c r="AO1247" t="n">
        <v>0</v>
      </c>
      <c r="AP1247" t="inlineStr">
        <is>
          <t>No</t>
        </is>
      </c>
      <c r="AQ1247" t="inlineStr">
        <is>
          <t>Yes</t>
        </is>
      </c>
      <c r="AR1247">
        <f>HYPERLINK("http://catalog.hathitrust.org/Record/001767294","HathiTrust Record")</f>
        <v/>
      </c>
      <c r="AS1247">
        <f>HYPERLINK("https://creighton-primo.hosted.exlibrisgroup.com/primo-explore/search?tab=default_tab&amp;search_scope=EVERYTHING&amp;vid=01CRU&amp;lang=en_US&amp;offset=0&amp;query=any,contains,991001230039702656","Catalog Record")</f>
        <v/>
      </c>
      <c r="AT1247">
        <f>HYPERLINK("http://www.worldcat.org/oclc/202816","WorldCat Record")</f>
        <v/>
      </c>
      <c r="AU1247" t="inlineStr">
        <is>
          <t>1258010:eng</t>
        </is>
      </c>
      <c r="AV1247" t="inlineStr">
        <is>
          <t>202816</t>
        </is>
      </c>
      <c r="AW1247" t="inlineStr">
        <is>
          <t>991001230039702656</t>
        </is>
      </c>
      <c r="AX1247" t="inlineStr">
        <is>
          <t>991001230039702656</t>
        </is>
      </c>
      <c r="AY1247" t="inlineStr">
        <is>
          <t>2258724970002656</t>
        </is>
      </c>
      <c r="AZ1247" t="inlineStr">
        <is>
          <t>BOOK</t>
        </is>
      </c>
      <c r="BB1247" t="inlineStr">
        <is>
          <t>9780208010728</t>
        </is>
      </c>
      <c r="BC1247" t="inlineStr">
        <is>
          <t>32285002233921</t>
        </is>
      </c>
      <c r="BD1247" t="inlineStr">
        <is>
          <t>893407964</t>
        </is>
      </c>
    </row>
    <row r="1248">
      <c r="A1248" t="inlineStr">
        <is>
          <t>No</t>
        </is>
      </c>
      <c r="B1248" t="inlineStr">
        <is>
          <t>BF761 .K2</t>
        </is>
      </c>
      <c r="C1248" t="inlineStr">
        <is>
          <t>0                      BF 0761000K  2</t>
        </is>
      </c>
      <c r="D1248" t="inlineStr">
        <is>
          <t>The dynamics of interviewing : theory, technique, and cases / by Robert L. Kahn [and] Charles F. Cannell.</t>
        </is>
      </c>
      <c r="F1248" t="inlineStr">
        <is>
          <t>No</t>
        </is>
      </c>
      <c r="G1248" t="inlineStr">
        <is>
          <t>1</t>
        </is>
      </c>
      <c r="H1248" t="inlineStr">
        <is>
          <t>No</t>
        </is>
      </c>
      <c r="I1248" t="inlineStr">
        <is>
          <t>No</t>
        </is>
      </c>
      <c r="J1248" t="inlineStr">
        <is>
          <t>0</t>
        </is>
      </c>
      <c r="K1248" t="inlineStr">
        <is>
          <t>Kahn, Robert L., 1918-</t>
        </is>
      </c>
      <c r="L1248" t="inlineStr">
        <is>
          <t>New York : Wiley, [1957]</t>
        </is>
      </c>
      <c r="M1248" t="inlineStr">
        <is>
          <t>1957</t>
        </is>
      </c>
      <c r="O1248" t="inlineStr">
        <is>
          <t>eng</t>
        </is>
      </c>
      <c r="P1248" t="inlineStr">
        <is>
          <t>nyu</t>
        </is>
      </c>
      <c r="R1248" t="inlineStr">
        <is>
          <t xml:space="preserve">BF </t>
        </is>
      </c>
      <c r="S1248" t="n">
        <v>1</v>
      </c>
      <c r="T1248" t="n">
        <v>1</v>
      </c>
      <c r="U1248" t="inlineStr">
        <is>
          <t>2001-04-09</t>
        </is>
      </c>
      <c r="V1248" t="inlineStr">
        <is>
          <t>2001-04-09</t>
        </is>
      </c>
      <c r="W1248" t="inlineStr">
        <is>
          <t>1993-04-13</t>
        </is>
      </c>
      <c r="X1248" t="inlineStr">
        <is>
          <t>1993-04-13</t>
        </is>
      </c>
      <c r="Y1248" t="n">
        <v>1022</v>
      </c>
      <c r="Z1248" t="n">
        <v>794</v>
      </c>
      <c r="AA1248" t="n">
        <v>840</v>
      </c>
      <c r="AB1248" t="n">
        <v>4</v>
      </c>
      <c r="AC1248" t="n">
        <v>7</v>
      </c>
      <c r="AD1248" t="n">
        <v>29</v>
      </c>
      <c r="AE1248" t="n">
        <v>32</v>
      </c>
      <c r="AF1248" t="n">
        <v>11</v>
      </c>
      <c r="AG1248" t="n">
        <v>11</v>
      </c>
      <c r="AH1248" t="n">
        <v>5</v>
      </c>
      <c r="AI1248" t="n">
        <v>5</v>
      </c>
      <c r="AJ1248" t="n">
        <v>16</v>
      </c>
      <c r="AK1248" t="n">
        <v>16</v>
      </c>
      <c r="AL1248" t="n">
        <v>2</v>
      </c>
      <c r="AM1248" t="n">
        <v>4</v>
      </c>
      <c r="AN1248" t="n">
        <v>0</v>
      </c>
      <c r="AO1248" t="n">
        <v>1</v>
      </c>
      <c r="AP1248" t="inlineStr">
        <is>
          <t>No</t>
        </is>
      </c>
      <c r="AQ1248" t="inlineStr">
        <is>
          <t>Yes</t>
        </is>
      </c>
      <c r="AR1248">
        <f>HYPERLINK("http://catalog.hathitrust.org/Record/000471272","HathiTrust Record")</f>
        <v/>
      </c>
      <c r="AS1248">
        <f>HYPERLINK("https://creighton-primo.hosted.exlibrisgroup.com/primo-explore/search?tab=default_tab&amp;search_scope=EVERYTHING&amp;vid=01CRU&amp;lang=en_US&amp;offset=0&amp;query=any,contains,991003425989702656","Catalog Record")</f>
        <v/>
      </c>
      <c r="AT1248">
        <f>HYPERLINK("http://www.worldcat.org/oclc/964621","WorldCat Record")</f>
        <v/>
      </c>
      <c r="AU1248" t="inlineStr">
        <is>
          <t>1918286:eng</t>
        </is>
      </c>
      <c r="AV1248" t="inlineStr">
        <is>
          <t>964621</t>
        </is>
      </c>
      <c r="AW1248" t="inlineStr">
        <is>
          <t>991003425989702656</t>
        </is>
      </c>
      <c r="AX1248" t="inlineStr">
        <is>
          <t>991003425989702656</t>
        </is>
      </c>
      <c r="AY1248" t="inlineStr">
        <is>
          <t>2261743590002656</t>
        </is>
      </c>
      <c r="AZ1248" t="inlineStr">
        <is>
          <t>BOOK</t>
        </is>
      </c>
      <c r="BC1248" t="inlineStr">
        <is>
          <t>32285001616266</t>
        </is>
      </c>
      <c r="BD1248" t="inlineStr">
        <is>
          <t>893887447</t>
        </is>
      </c>
    </row>
    <row r="1249">
      <c r="A1249" t="inlineStr">
        <is>
          <t>No</t>
        </is>
      </c>
      <c r="B1249" t="inlineStr">
        <is>
          <t>BF77 .T4 1988</t>
        </is>
      </c>
      <c r="C1249" t="inlineStr">
        <is>
          <t>0                      BF 0077000T  4           1988</t>
        </is>
      </c>
      <c r="D1249" t="inlineStr">
        <is>
          <t>Teaching a psychology of people : resources for gender and sociocultural awareness / edited by Phyllis Bronstein and Kathryn Quina.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L1249" t="inlineStr">
        <is>
          <t>Washington, DC : American Psychological Association, c1988, 1989 printing.</t>
        </is>
      </c>
      <c r="M1249" t="inlineStr">
        <is>
          <t>1988</t>
        </is>
      </c>
      <c r="O1249" t="inlineStr">
        <is>
          <t>eng</t>
        </is>
      </c>
      <c r="P1249" t="inlineStr">
        <is>
          <t>dcu</t>
        </is>
      </c>
      <c r="R1249" t="inlineStr">
        <is>
          <t xml:space="preserve">BF </t>
        </is>
      </c>
      <c r="S1249" t="n">
        <v>8</v>
      </c>
      <c r="T1249" t="n">
        <v>8</v>
      </c>
      <c r="U1249" t="inlineStr">
        <is>
          <t>1995-05-09</t>
        </is>
      </c>
      <c r="V1249" t="inlineStr">
        <is>
          <t>1995-05-09</t>
        </is>
      </c>
      <c r="W1249" t="inlineStr">
        <is>
          <t>1989-11-16</t>
        </is>
      </c>
      <c r="X1249" t="inlineStr">
        <is>
          <t>1989-11-16</t>
        </is>
      </c>
      <c r="Y1249" t="n">
        <v>357</v>
      </c>
      <c r="Z1249" t="n">
        <v>304</v>
      </c>
      <c r="AA1249" t="n">
        <v>390</v>
      </c>
      <c r="AB1249" t="n">
        <v>4</v>
      </c>
      <c r="AC1249" t="n">
        <v>5</v>
      </c>
      <c r="AD1249" t="n">
        <v>18</v>
      </c>
      <c r="AE1249" t="n">
        <v>23</v>
      </c>
      <c r="AF1249" t="n">
        <v>6</v>
      </c>
      <c r="AG1249" t="n">
        <v>8</v>
      </c>
      <c r="AH1249" t="n">
        <v>3</v>
      </c>
      <c r="AI1249" t="n">
        <v>4</v>
      </c>
      <c r="AJ1249" t="n">
        <v>9</v>
      </c>
      <c r="AK1249" t="n">
        <v>10</v>
      </c>
      <c r="AL1249" t="n">
        <v>3</v>
      </c>
      <c r="AM1249" t="n">
        <v>4</v>
      </c>
      <c r="AN1249" t="n">
        <v>0</v>
      </c>
      <c r="AO1249" t="n">
        <v>0</v>
      </c>
      <c r="AP1249" t="inlineStr">
        <is>
          <t>No</t>
        </is>
      </c>
      <c r="AQ1249" t="inlineStr">
        <is>
          <t>No</t>
        </is>
      </c>
      <c r="AS1249">
        <f>HYPERLINK("https://creighton-primo.hosted.exlibrisgroup.com/primo-explore/search?tab=default_tab&amp;search_scope=EVERYTHING&amp;vid=01CRU&amp;lang=en_US&amp;offset=0&amp;query=any,contains,991001303419702656","Catalog Record")</f>
        <v/>
      </c>
      <c r="AT1249">
        <f>HYPERLINK("http://www.worldcat.org/oclc/18072711","WorldCat Record")</f>
        <v/>
      </c>
      <c r="AU1249" t="inlineStr">
        <is>
          <t>890794535:eng</t>
        </is>
      </c>
      <c r="AV1249" t="inlineStr">
        <is>
          <t>18072711</t>
        </is>
      </c>
      <c r="AW1249" t="inlineStr">
        <is>
          <t>991001303419702656</t>
        </is>
      </c>
      <c r="AX1249" t="inlineStr">
        <is>
          <t>991001303419702656</t>
        </is>
      </c>
      <c r="AY1249" t="inlineStr">
        <is>
          <t>2267013780002656</t>
        </is>
      </c>
      <c r="AZ1249" t="inlineStr">
        <is>
          <t>BOOK</t>
        </is>
      </c>
      <c r="BB1249" t="inlineStr">
        <is>
          <t>9781557980397</t>
        </is>
      </c>
      <c r="BC1249" t="inlineStr">
        <is>
          <t>32285000013655</t>
        </is>
      </c>
      <c r="BD1249" t="inlineStr">
        <is>
          <t>893231893</t>
        </is>
      </c>
    </row>
    <row r="1250">
      <c r="A1250" t="inlineStr">
        <is>
          <t>No</t>
        </is>
      </c>
      <c r="B1250" t="inlineStr">
        <is>
          <t>BF773 .R6</t>
        </is>
      </c>
      <c r="C1250" t="inlineStr">
        <is>
          <t>0                      BF 0773000R  6</t>
        </is>
      </c>
      <c r="D1250" t="inlineStr">
        <is>
          <t>Beliefs, attitudes, and values; a theory of organization and change.</t>
        </is>
      </c>
      <c r="F1250" t="inlineStr">
        <is>
          <t>No</t>
        </is>
      </c>
      <c r="G1250" t="inlineStr">
        <is>
          <t>1</t>
        </is>
      </c>
      <c r="H1250" t="inlineStr">
        <is>
          <t>Yes</t>
        </is>
      </c>
      <c r="I1250" t="inlineStr">
        <is>
          <t>No</t>
        </is>
      </c>
      <c r="J1250" t="inlineStr">
        <is>
          <t>0</t>
        </is>
      </c>
      <c r="K1250" t="inlineStr">
        <is>
          <t>Rokeach, Milton.</t>
        </is>
      </c>
      <c r="L1250" t="inlineStr">
        <is>
          <t>San Francisco, Jossey-Bass, 1968.</t>
        </is>
      </c>
      <c r="M1250" t="inlineStr">
        <is>
          <t>1968</t>
        </is>
      </c>
      <c r="N1250" t="inlineStr">
        <is>
          <t>[1st ed.]</t>
        </is>
      </c>
      <c r="O1250" t="inlineStr">
        <is>
          <t>eng</t>
        </is>
      </c>
      <c r="P1250" t="inlineStr">
        <is>
          <t>cau</t>
        </is>
      </c>
      <c r="Q1250" t="inlineStr">
        <is>
          <t>The Jossey-Bass behavioral science series</t>
        </is>
      </c>
      <c r="R1250" t="inlineStr">
        <is>
          <t xml:space="preserve">BF </t>
        </is>
      </c>
      <c r="S1250" t="n">
        <v>13</v>
      </c>
      <c r="T1250" t="n">
        <v>28</v>
      </c>
      <c r="U1250" t="inlineStr">
        <is>
          <t>2003-04-11</t>
        </is>
      </c>
      <c r="V1250" t="inlineStr">
        <is>
          <t>2003-04-11</t>
        </is>
      </c>
      <c r="W1250" t="inlineStr">
        <is>
          <t>1996-08-07</t>
        </is>
      </c>
      <c r="X1250" t="inlineStr">
        <is>
          <t>1996-08-07</t>
        </is>
      </c>
      <c r="Y1250" t="n">
        <v>1096</v>
      </c>
      <c r="Z1250" t="n">
        <v>942</v>
      </c>
      <c r="AA1250" t="n">
        <v>957</v>
      </c>
      <c r="AB1250" t="n">
        <v>9</v>
      </c>
      <c r="AC1250" t="n">
        <v>9</v>
      </c>
      <c r="AD1250" t="n">
        <v>42</v>
      </c>
      <c r="AE1250" t="n">
        <v>43</v>
      </c>
      <c r="AF1250" t="n">
        <v>18</v>
      </c>
      <c r="AG1250" t="n">
        <v>18</v>
      </c>
      <c r="AH1250" t="n">
        <v>6</v>
      </c>
      <c r="AI1250" t="n">
        <v>7</v>
      </c>
      <c r="AJ1250" t="n">
        <v>18</v>
      </c>
      <c r="AK1250" t="n">
        <v>18</v>
      </c>
      <c r="AL1250" t="n">
        <v>7</v>
      </c>
      <c r="AM1250" t="n">
        <v>7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Yes</t>
        </is>
      </c>
      <c r="AR1250">
        <f>HYPERLINK("http://catalog.hathitrust.org/Record/000472670","HathiTrust Record")</f>
        <v/>
      </c>
      <c r="AS1250">
        <f>HYPERLINK("https://creighton-primo.hosted.exlibrisgroup.com/primo-explore/search?tab=default_tab&amp;search_scope=EVERYTHING&amp;vid=01CRU&amp;lang=en_US&amp;offset=0&amp;query=any,contains,991001762659702656","Catalog Record")</f>
        <v/>
      </c>
      <c r="AT1250">
        <f>HYPERLINK("http://www.worldcat.org/oclc/223048","WorldCat Record")</f>
        <v/>
      </c>
      <c r="AU1250" t="inlineStr">
        <is>
          <t>151111607:eng</t>
        </is>
      </c>
      <c r="AV1250" t="inlineStr">
        <is>
          <t>223048</t>
        </is>
      </c>
      <c r="AW1250" t="inlineStr">
        <is>
          <t>991001762659702656</t>
        </is>
      </c>
      <c r="AX1250" t="inlineStr">
        <is>
          <t>991001762659702656</t>
        </is>
      </c>
      <c r="AY1250" t="inlineStr">
        <is>
          <t>2262274480002656</t>
        </is>
      </c>
      <c r="AZ1250" t="inlineStr">
        <is>
          <t>BOOK</t>
        </is>
      </c>
      <c r="BC1250" t="inlineStr">
        <is>
          <t>32285002257599</t>
        </is>
      </c>
      <c r="BD1250" t="inlineStr">
        <is>
          <t>893334554</t>
        </is>
      </c>
    </row>
    <row r="1251">
      <c r="A1251" t="inlineStr">
        <is>
          <t>No</t>
        </is>
      </c>
      <c r="B1251" t="inlineStr">
        <is>
          <t>BF773 .S36</t>
        </is>
      </c>
      <c r="C1251" t="inlineStr">
        <is>
          <t>0                      BF 0773000S  36</t>
        </is>
      </c>
      <c r="D1251" t="inlineStr">
        <is>
          <t>Beliefs and values [by] Karl E. Scheibe.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K1251" t="inlineStr">
        <is>
          <t>Scheibe, Karl E., 1937-</t>
        </is>
      </c>
      <c r="L1251" t="inlineStr">
        <is>
          <t>New York, Holt, Rinehart and Winston [1970]</t>
        </is>
      </c>
      <c r="M1251" t="inlineStr">
        <is>
          <t>1970</t>
        </is>
      </c>
      <c r="O1251" t="inlineStr">
        <is>
          <t>eng</t>
        </is>
      </c>
      <c r="P1251" t="inlineStr">
        <is>
          <t>nyu</t>
        </is>
      </c>
      <c r="Q1251" t="inlineStr">
        <is>
          <t>The Person in psychology series</t>
        </is>
      </c>
      <c r="R1251" t="inlineStr">
        <is>
          <t xml:space="preserve">BF </t>
        </is>
      </c>
      <c r="S1251" t="n">
        <v>3</v>
      </c>
      <c r="T1251" t="n">
        <v>3</v>
      </c>
      <c r="U1251" t="inlineStr">
        <is>
          <t>1996-09-28</t>
        </is>
      </c>
      <c r="V1251" t="inlineStr">
        <is>
          <t>1996-09-28</t>
        </is>
      </c>
      <c r="W1251" t="inlineStr">
        <is>
          <t>1996-08-07</t>
        </is>
      </c>
      <c r="X1251" t="inlineStr">
        <is>
          <t>1996-08-07</t>
        </is>
      </c>
      <c r="Y1251" t="n">
        <v>491</v>
      </c>
      <c r="Z1251" t="n">
        <v>386</v>
      </c>
      <c r="AA1251" t="n">
        <v>393</v>
      </c>
      <c r="AB1251" t="n">
        <v>6</v>
      </c>
      <c r="AC1251" t="n">
        <v>6</v>
      </c>
      <c r="AD1251" t="n">
        <v>21</v>
      </c>
      <c r="AE1251" t="n">
        <v>21</v>
      </c>
      <c r="AF1251" t="n">
        <v>6</v>
      </c>
      <c r="AG1251" t="n">
        <v>6</v>
      </c>
      <c r="AH1251" t="n">
        <v>5</v>
      </c>
      <c r="AI1251" t="n">
        <v>5</v>
      </c>
      <c r="AJ1251" t="n">
        <v>11</v>
      </c>
      <c r="AK1251" t="n">
        <v>11</v>
      </c>
      <c r="AL1251" t="n">
        <v>5</v>
      </c>
      <c r="AM1251" t="n">
        <v>5</v>
      </c>
      <c r="AN1251" t="n">
        <v>0</v>
      </c>
      <c r="AO1251" t="n">
        <v>0</v>
      </c>
      <c r="AP1251" t="inlineStr">
        <is>
          <t>No</t>
        </is>
      </c>
      <c r="AQ1251" t="inlineStr">
        <is>
          <t>Yes</t>
        </is>
      </c>
      <c r="AR1251">
        <f>HYPERLINK("http://catalog.hathitrust.org/Record/000000735","HathiTrust Record")</f>
        <v/>
      </c>
      <c r="AS1251">
        <f>HYPERLINK("https://creighton-primo.hosted.exlibrisgroup.com/primo-explore/search?tab=default_tab&amp;search_scope=EVERYTHING&amp;vid=01CRU&amp;lang=en_US&amp;offset=0&amp;query=any,contains,991000190279702656","Catalog Record")</f>
        <v/>
      </c>
      <c r="AT1251">
        <f>HYPERLINK("http://www.worldcat.org/oclc/63916","WorldCat Record")</f>
        <v/>
      </c>
      <c r="AU1251" t="inlineStr">
        <is>
          <t>1227583:eng</t>
        </is>
      </c>
      <c r="AV1251" t="inlineStr">
        <is>
          <t>63916</t>
        </is>
      </c>
      <c r="AW1251" t="inlineStr">
        <is>
          <t>991000190279702656</t>
        </is>
      </c>
      <c r="AX1251" t="inlineStr">
        <is>
          <t>991000190279702656</t>
        </is>
      </c>
      <c r="AY1251" t="inlineStr">
        <is>
          <t>2255653330002656</t>
        </is>
      </c>
      <c r="AZ1251" t="inlineStr">
        <is>
          <t>BOOK</t>
        </is>
      </c>
      <c r="BB1251" t="inlineStr">
        <is>
          <t>9780030792151</t>
        </is>
      </c>
      <c r="BC1251" t="inlineStr">
        <is>
          <t>32285002257607</t>
        </is>
      </c>
      <c r="BD1251" t="inlineStr">
        <is>
          <t>893865181</t>
        </is>
      </c>
    </row>
    <row r="1252">
      <c r="A1252" t="inlineStr">
        <is>
          <t>No</t>
        </is>
      </c>
      <c r="B1252" t="inlineStr">
        <is>
          <t>BF774 .B5</t>
        </is>
      </c>
      <c r="C1252" t="inlineStr">
        <is>
          <t>0                      BF 0774000B  5</t>
        </is>
      </c>
      <c r="D1252" t="inlineStr">
        <is>
          <t>Role theory : concepts and research / edited by Bruce J. Biddle and Edwin J. Thomas.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K1252" t="inlineStr">
        <is>
          <t>Biddle, Bruce J. (Bruce Jesse), 1928-, editor.</t>
        </is>
      </c>
      <c r="L1252" t="inlineStr">
        <is>
          <t>New York : Wiley, [1966]</t>
        </is>
      </c>
      <c r="M1252" t="inlineStr">
        <is>
          <t>1966</t>
        </is>
      </c>
      <c r="O1252" t="inlineStr">
        <is>
          <t>eng</t>
        </is>
      </c>
      <c r="P1252" t="inlineStr">
        <is>
          <t>nyu</t>
        </is>
      </c>
      <c r="R1252" t="inlineStr">
        <is>
          <t xml:space="preserve">BF </t>
        </is>
      </c>
      <c r="S1252" t="n">
        <v>8</v>
      </c>
      <c r="T1252" t="n">
        <v>8</v>
      </c>
      <c r="U1252" t="inlineStr">
        <is>
          <t>1998-11-22</t>
        </is>
      </c>
      <c r="V1252" t="inlineStr">
        <is>
          <t>1998-11-22</t>
        </is>
      </c>
      <c r="W1252" t="inlineStr">
        <is>
          <t>1993-05-19</t>
        </is>
      </c>
      <c r="X1252" t="inlineStr">
        <is>
          <t>1993-05-19</t>
        </is>
      </c>
      <c r="Y1252" t="n">
        <v>1033</v>
      </c>
      <c r="Z1252" t="n">
        <v>803</v>
      </c>
      <c r="AA1252" t="n">
        <v>867</v>
      </c>
      <c r="AB1252" t="n">
        <v>6</v>
      </c>
      <c r="AC1252" t="n">
        <v>6</v>
      </c>
      <c r="AD1252" t="n">
        <v>39</v>
      </c>
      <c r="AE1252" t="n">
        <v>42</v>
      </c>
      <c r="AF1252" t="n">
        <v>17</v>
      </c>
      <c r="AG1252" t="n">
        <v>18</v>
      </c>
      <c r="AH1252" t="n">
        <v>9</v>
      </c>
      <c r="AI1252" t="n">
        <v>9</v>
      </c>
      <c r="AJ1252" t="n">
        <v>19</v>
      </c>
      <c r="AK1252" t="n">
        <v>21</v>
      </c>
      <c r="AL1252" t="n">
        <v>5</v>
      </c>
      <c r="AM1252" t="n">
        <v>5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Yes</t>
        </is>
      </c>
      <c r="AR1252">
        <f>HYPERLINK("http://catalog.hathitrust.org/Record/000965151","HathiTrust Record")</f>
        <v/>
      </c>
      <c r="AS1252">
        <f>HYPERLINK("https://creighton-primo.hosted.exlibrisgroup.com/primo-explore/search?tab=default_tab&amp;search_scope=EVERYTHING&amp;vid=01CRU&amp;lang=en_US&amp;offset=0&amp;query=any,contains,991003181139702656","Catalog Record")</f>
        <v/>
      </c>
      <c r="AT1252">
        <f>HYPERLINK("http://www.worldcat.org/oclc/711798","WorldCat Record")</f>
        <v/>
      </c>
      <c r="AU1252" t="inlineStr">
        <is>
          <t>502107642:eng</t>
        </is>
      </c>
      <c r="AV1252" t="inlineStr">
        <is>
          <t>711798</t>
        </is>
      </c>
      <c r="AW1252" t="inlineStr">
        <is>
          <t>991003181139702656</t>
        </is>
      </c>
      <c r="AX1252" t="inlineStr">
        <is>
          <t>991003181139702656</t>
        </is>
      </c>
      <c r="AY1252" t="inlineStr">
        <is>
          <t>2261859280002656</t>
        </is>
      </c>
      <c r="AZ1252" t="inlineStr">
        <is>
          <t>BOOK</t>
        </is>
      </c>
      <c r="BC1252" t="inlineStr">
        <is>
          <t>32285001583029</t>
        </is>
      </c>
      <c r="BD1252" t="inlineStr">
        <is>
          <t>893780683</t>
        </is>
      </c>
    </row>
    <row r="1253">
      <c r="A1253" t="inlineStr">
        <is>
          <t>No</t>
        </is>
      </c>
      <c r="B1253" t="inlineStr">
        <is>
          <t>BF774 .B52</t>
        </is>
      </c>
      <c r="C1253" t="inlineStr">
        <is>
          <t>0                      BF 0774000B  52</t>
        </is>
      </c>
      <c r="D1253" t="inlineStr">
        <is>
          <t>Role theory : expectations, identities, and behaviors / Bruce J. Biddle.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K1253" t="inlineStr">
        <is>
          <t>Biddle, Bruce J. (Bruce Jesse), 1928-</t>
        </is>
      </c>
      <c r="L1253" t="inlineStr">
        <is>
          <t>New York : Academic Press, c1979.</t>
        </is>
      </c>
      <c r="M1253" t="inlineStr">
        <is>
          <t>1979</t>
        </is>
      </c>
      <c r="O1253" t="inlineStr">
        <is>
          <t>eng</t>
        </is>
      </c>
      <c r="P1253" t="inlineStr">
        <is>
          <t>nyu</t>
        </is>
      </c>
      <c r="R1253" t="inlineStr">
        <is>
          <t xml:space="preserve">BF </t>
        </is>
      </c>
      <c r="S1253" t="n">
        <v>12</v>
      </c>
      <c r="T1253" t="n">
        <v>12</v>
      </c>
      <c r="U1253" t="inlineStr">
        <is>
          <t>2009-10-06</t>
        </is>
      </c>
      <c r="V1253" t="inlineStr">
        <is>
          <t>2009-10-06</t>
        </is>
      </c>
      <c r="W1253" t="inlineStr">
        <is>
          <t>1992-03-18</t>
        </is>
      </c>
      <c r="X1253" t="inlineStr">
        <is>
          <t>1992-03-18</t>
        </is>
      </c>
      <c r="Y1253" t="n">
        <v>529</v>
      </c>
      <c r="Z1253" t="n">
        <v>370</v>
      </c>
      <c r="AA1253" t="n">
        <v>408</v>
      </c>
      <c r="AB1253" t="n">
        <v>2</v>
      </c>
      <c r="AC1253" t="n">
        <v>3</v>
      </c>
      <c r="AD1253" t="n">
        <v>18</v>
      </c>
      <c r="AE1253" t="n">
        <v>20</v>
      </c>
      <c r="AF1253" t="n">
        <v>7</v>
      </c>
      <c r="AG1253" t="n">
        <v>7</v>
      </c>
      <c r="AH1253" t="n">
        <v>5</v>
      </c>
      <c r="AI1253" t="n">
        <v>6</v>
      </c>
      <c r="AJ1253" t="n">
        <v>12</v>
      </c>
      <c r="AK1253" t="n">
        <v>12</v>
      </c>
      <c r="AL1253" t="n">
        <v>1</v>
      </c>
      <c r="AM1253" t="n">
        <v>2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Yes</t>
        </is>
      </c>
      <c r="AR1253">
        <f>HYPERLINK("http://catalog.hathitrust.org/Record/000020626","HathiTrust Record")</f>
        <v/>
      </c>
      <c r="AS1253">
        <f>HYPERLINK("https://creighton-primo.hosted.exlibrisgroup.com/primo-explore/search?tab=default_tab&amp;search_scope=EVERYTHING&amp;vid=01CRU&amp;lang=en_US&amp;offset=0&amp;query=any,contains,991004792979702656","Catalog Record")</f>
        <v/>
      </c>
      <c r="AT1253">
        <f>HYPERLINK("http://www.worldcat.org/oclc/5171868","WorldCat Record")</f>
        <v/>
      </c>
      <c r="AU1253" t="inlineStr">
        <is>
          <t>3857505315:eng</t>
        </is>
      </c>
      <c r="AV1253" t="inlineStr">
        <is>
          <t>5171868</t>
        </is>
      </c>
      <c r="AW1253" t="inlineStr">
        <is>
          <t>991004792979702656</t>
        </is>
      </c>
      <c r="AX1253" t="inlineStr">
        <is>
          <t>991004792979702656</t>
        </is>
      </c>
      <c r="AY1253" t="inlineStr">
        <is>
          <t>2259034780002656</t>
        </is>
      </c>
      <c r="AZ1253" t="inlineStr">
        <is>
          <t>BOOK</t>
        </is>
      </c>
      <c r="BB1253" t="inlineStr">
        <is>
          <t>9780120959501</t>
        </is>
      </c>
      <c r="BC1253" t="inlineStr">
        <is>
          <t>32285001013860</t>
        </is>
      </c>
      <c r="BD1253" t="inlineStr">
        <is>
          <t>893319645</t>
        </is>
      </c>
    </row>
    <row r="1254">
      <c r="A1254" t="inlineStr">
        <is>
          <t>No</t>
        </is>
      </c>
      <c r="B1254" t="inlineStr">
        <is>
          <t>BF774 .C625</t>
        </is>
      </c>
      <c r="C1254" t="inlineStr">
        <is>
          <t>0                      BF 0774000C  625</t>
        </is>
      </c>
      <c r="D1254" t="inlineStr">
        <is>
          <t>Conflict, conformity, and social status / Bernard P. Cohen and Hans Lee.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K1254" t="inlineStr">
        <is>
          <t>Cohen, Bernard P.</t>
        </is>
      </c>
      <c r="L1254" t="inlineStr">
        <is>
          <t>Amsterdam ; New York : Elsevier, 1975.</t>
        </is>
      </c>
      <c r="M1254" t="inlineStr">
        <is>
          <t>1975</t>
        </is>
      </c>
      <c r="O1254" t="inlineStr">
        <is>
          <t>eng</t>
        </is>
      </c>
      <c r="P1254" t="inlineStr">
        <is>
          <t xml:space="preserve">ne </t>
        </is>
      </c>
      <c r="Q1254" t="inlineStr">
        <is>
          <t>Progress in mathematical social sciences ; v. 7</t>
        </is>
      </c>
      <c r="R1254" t="inlineStr">
        <is>
          <t xml:space="preserve">BF </t>
        </is>
      </c>
      <c r="S1254" t="n">
        <v>3</v>
      </c>
      <c r="T1254" t="n">
        <v>3</v>
      </c>
      <c r="U1254" t="inlineStr">
        <is>
          <t>2003-10-28</t>
        </is>
      </c>
      <c r="V1254" t="inlineStr">
        <is>
          <t>2003-10-28</t>
        </is>
      </c>
      <c r="W1254" t="inlineStr">
        <is>
          <t>1990-10-01</t>
        </is>
      </c>
      <c r="X1254" t="inlineStr">
        <is>
          <t>1990-10-01</t>
        </is>
      </c>
      <c r="Y1254" t="n">
        <v>335</v>
      </c>
      <c r="Z1254" t="n">
        <v>226</v>
      </c>
      <c r="AA1254" t="n">
        <v>235</v>
      </c>
      <c r="AB1254" t="n">
        <v>5</v>
      </c>
      <c r="AC1254" t="n">
        <v>5</v>
      </c>
      <c r="AD1254" t="n">
        <v>11</v>
      </c>
      <c r="AE1254" t="n">
        <v>12</v>
      </c>
      <c r="AF1254" t="n">
        <v>3</v>
      </c>
      <c r="AG1254" t="n">
        <v>4</v>
      </c>
      <c r="AH1254" t="n">
        <v>1</v>
      </c>
      <c r="AI1254" t="n">
        <v>1</v>
      </c>
      <c r="AJ1254" t="n">
        <v>6</v>
      </c>
      <c r="AK1254" t="n">
        <v>7</v>
      </c>
      <c r="AL1254" t="n">
        <v>3</v>
      </c>
      <c r="AM1254" t="n">
        <v>3</v>
      </c>
      <c r="AN1254" t="n">
        <v>0</v>
      </c>
      <c r="AO1254" t="n">
        <v>0</v>
      </c>
      <c r="AP1254" t="inlineStr">
        <is>
          <t>No</t>
        </is>
      </c>
      <c r="AQ1254" t="inlineStr">
        <is>
          <t>Yes</t>
        </is>
      </c>
      <c r="AR1254">
        <f>HYPERLINK("http://catalog.hathitrust.org/Record/000032599","HathiTrust Record")</f>
        <v/>
      </c>
      <c r="AS1254">
        <f>HYPERLINK("https://creighton-primo.hosted.exlibrisgroup.com/primo-explore/search?tab=default_tab&amp;search_scope=EVERYTHING&amp;vid=01CRU&amp;lang=en_US&amp;offset=0&amp;query=any,contains,991003828139702656","Catalog Record")</f>
        <v/>
      </c>
      <c r="AT1254">
        <f>HYPERLINK("http://www.worldcat.org/oclc/1582361","WorldCat Record")</f>
        <v/>
      </c>
      <c r="AU1254" t="inlineStr">
        <is>
          <t>2461424:eng</t>
        </is>
      </c>
      <c r="AV1254" t="inlineStr">
        <is>
          <t>1582361</t>
        </is>
      </c>
      <c r="AW1254" t="inlineStr">
        <is>
          <t>991003828139702656</t>
        </is>
      </c>
      <c r="AX1254" t="inlineStr">
        <is>
          <t>991003828139702656</t>
        </is>
      </c>
      <c r="AY1254" t="inlineStr">
        <is>
          <t>2270732760002656</t>
        </is>
      </c>
      <c r="AZ1254" t="inlineStr">
        <is>
          <t>BOOK</t>
        </is>
      </c>
      <c r="BB1254" t="inlineStr">
        <is>
          <t>9780444412690</t>
        </is>
      </c>
      <c r="BC1254" t="inlineStr">
        <is>
          <t>32285000322924</t>
        </is>
      </c>
      <c r="BD1254" t="inlineStr">
        <is>
          <t>893337008</t>
        </is>
      </c>
    </row>
    <row r="1255">
      <c r="A1255" t="inlineStr">
        <is>
          <t>No</t>
        </is>
      </c>
      <c r="B1255" t="inlineStr">
        <is>
          <t>BF774 .L48</t>
        </is>
      </c>
      <c r="C1255" t="inlineStr">
        <is>
          <t>0                      BF 0774000L  48</t>
        </is>
      </c>
      <c r="D1255" t="inlineStr">
        <is>
          <t>Why people change; the psychology of influence [by] William C. Lewis.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K1255" t="inlineStr">
        <is>
          <t>Lewis, William C. (William Champlin), 1917-</t>
        </is>
      </c>
      <c r="L1255" t="inlineStr">
        <is>
          <t>New York, Holt, Rinehart and Winston [c1972]</t>
        </is>
      </c>
      <c r="M1255" t="inlineStr">
        <is>
          <t>1972</t>
        </is>
      </c>
      <c r="O1255" t="inlineStr">
        <is>
          <t>eng</t>
        </is>
      </c>
      <c r="P1255" t="inlineStr">
        <is>
          <t>nyu</t>
        </is>
      </c>
      <c r="R1255" t="inlineStr">
        <is>
          <t xml:space="preserve">BF </t>
        </is>
      </c>
      <c r="S1255" t="n">
        <v>2</v>
      </c>
      <c r="T1255" t="n">
        <v>2</v>
      </c>
      <c r="U1255" t="inlineStr">
        <is>
          <t>2003-10-28</t>
        </is>
      </c>
      <c r="V1255" t="inlineStr">
        <is>
          <t>2003-10-28</t>
        </is>
      </c>
      <c r="W1255" t="inlineStr">
        <is>
          <t>1996-08-07</t>
        </is>
      </c>
      <c r="X1255" t="inlineStr">
        <is>
          <t>1996-08-07</t>
        </is>
      </c>
      <c r="Y1255" t="n">
        <v>352</v>
      </c>
      <c r="Z1255" t="n">
        <v>266</v>
      </c>
      <c r="AA1255" t="n">
        <v>273</v>
      </c>
      <c r="AB1255" t="n">
        <v>2</v>
      </c>
      <c r="AC1255" t="n">
        <v>2</v>
      </c>
      <c r="AD1255" t="n">
        <v>11</v>
      </c>
      <c r="AE1255" t="n">
        <v>11</v>
      </c>
      <c r="AF1255" t="n">
        <v>3</v>
      </c>
      <c r="AG1255" t="n">
        <v>3</v>
      </c>
      <c r="AH1255" t="n">
        <v>5</v>
      </c>
      <c r="AI1255" t="n">
        <v>5</v>
      </c>
      <c r="AJ1255" t="n">
        <v>5</v>
      </c>
      <c r="AK1255" t="n">
        <v>5</v>
      </c>
      <c r="AL1255" t="n">
        <v>1</v>
      </c>
      <c r="AM1255" t="n">
        <v>1</v>
      </c>
      <c r="AN1255" t="n">
        <v>0</v>
      </c>
      <c r="AO1255" t="n">
        <v>0</v>
      </c>
      <c r="AP1255" t="inlineStr">
        <is>
          <t>No</t>
        </is>
      </c>
      <c r="AQ1255" t="inlineStr">
        <is>
          <t>Yes</t>
        </is>
      </c>
      <c r="AR1255">
        <f>HYPERLINK("http://catalog.hathitrust.org/Record/000471288","HathiTrust Record")</f>
        <v/>
      </c>
      <c r="AS1255">
        <f>HYPERLINK("https://creighton-primo.hosted.exlibrisgroup.com/primo-explore/search?tab=default_tab&amp;search_scope=EVERYTHING&amp;vid=01CRU&amp;lang=en_US&amp;offset=0&amp;query=any,contains,991002107869702656","Catalog Record")</f>
        <v/>
      </c>
      <c r="AT1255">
        <f>HYPERLINK("http://www.worldcat.org/oclc/266759","WorldCat Record")</f>
        <v/>
      </c>
      <c r="AU1255" t="inlineStr">
        <is>
          <t>374004095:eng</t>
        </is>
      </c>
      <c r="AV1255" t="inlineStr">
        <is>
          <t>266759</t>
        </is>
      </c>
      <c r="AW1255" t="inlineStr">
        <is>
          <t>991002107869702656</t>
        </is>
      </c>
      <c r="AX1255" t="inlineStr">
        <is>
          <t>991002107869702656</t>
        </is>
      </c>
      <c r="AY1255" t="inlineStr">
        <is>
          <t>2269193840002656</t>
        </is>
      </c>
      <c r="AZ1255" t="inlineStr">
        <is>
          <t>BOOK</t>
        </is>
      </c>
      <c r="BB1255" t="inlineStr">
        <is>
          <t>9780030860287</t>
        </is>
      </c>
      <c r="BC1255" t="inlineStr">
        <is>
          <t>32285002257615</t>
        </is>
      </c>
      <c r="BD1255" t="inlineStr">
        <is>
          <t>893809309</t>
        </is>
      </c>
    </row>
    <row r="1256">
      <c r="A1256" t="inlineStr">
        <is>
          <t>No</t>
        </is>
      </c>
      <c r="B1256" t="inlineStr">
        <is>
          <t>BF778 .K34</t>
        </is>
      </c>
      <c r="C1256" t="inlineStr">
        <is>
          <t>0                      BF 0778000K  34</t>
        </is>
      </c>
      <c r="D1256" t="inlineStr">
        <is>
          <t>Exploring human values : psychological and philosophical considerations / Richard A. Kalish, Kenneth W. Collier.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K1256" t="inlineStr">
        <is>
          <t>Kalish, Richard A.</t>
        </is>
      </c>
      <c r="L1256" t="inlineStr">
        <is>
          <t>Monterey, Calif. : Brooks/Cole Pub. Co., c1981.</t>
        </is>
      </c>
      <c r="M1256" t="inlineStr">
        <is>
          <t>1981</t>
        </is>
      </c>
      <c r="O1256" t="inlineStr">
        <is>
          <t>eng</t>
        </is>
      </c>
      <c r="P1256" t="inlineStr">
        <is>
          <t>cau</t>
        </is>
      </c>
      <c r="R1256" t="inlineStr">
        <is>
          <t xml:space="preserve">BF </t>
        </is>
      </c>
      <c r="S1256" t="n">
        <v>9</v>
      </c>
      <c r="T1256" t="n">
        <v>9</v>
      </c>
      <c r="U1256" t="inlineStr">
        <is>
          <t>1997-02-04</t>
        </is>
      </c>
      <c r="V1256" t="inlineStr">
        <is>
          <t>1997-02-04</t>
        </is>
      </c>
      <c r="W1256" t="inlineStr">
        <is>
          <t>1993-04-12</t>
        </is>
      </c>
      <c r="X1256" t="inlineStr">
        <is>
          <t>1993-04-12</t>
        </is>
      </c>
      <c r="Y1256" t="n">
        <v>188</v>
      </c>
      <c r="Z1256" t="n">
        <v>151</v>
      </c>
      <c r="AA1256" t="n">
        <v>154</v>
      </c>
      <c r="AB1256" t="n">
        <v>2</v>
      </c>
      <c r="AC1256" t="n">
        <v>2</v>
      </c>
      <c r="AD1256" t="n">
        <v>6</v>
      </c>
      <c r="AE1256" t="n">
        <v>6</v>
      </c>
      <c r="AF1256" t="n">
        <v>4</v>
      </c>
      <c r="AG1256" t="n">
        <v>4</v>
      </c>
      <c r="AH1256" t="n">
        <v>1</v>
      </c>
      <c r="AI1256" t="n">
        <v>1</v>
      </c>
      <c r="AJ1256" t="n">
        <v>2</v>
      </c>
      <c r="AK1256" t="n">
        <v>2</v>
      </c>
      <c r="AL1256" t="n">
        <v>1</v>
      </c>
      <c r="AM1256" t="n">
        <v>1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No</t>
        </is>
      </c>
      <c r="AS1256">
        <f>HYPERLINK("https://creighton-primo.hosted.exlibrisgroup.com/primo-explore/search?tab=default_tab&amp;search_scope=EVERYTHING&amp;vid=01CRU&amp;lang=en_US&amp;offset=0&amp;query=any,contains,991005028729702656","Catalog Record")</f>
        <v/>
      </c>
      <c r="AT1256">
        <f>HYPERLINK("http://www.worldcat.org/oclc/6708521","WorldCat Record")</f>
        <v/>
      </c>
      <c r="AU1256" t="inlineStr">
        <is>
          <t>796297389:eng</t>
        </is>
      </c>
      <c r="AV1256" t="inlineStr">
        <is>
          <t>6708521</t>
        </is>
      </c>
      <c r="AW1256" t="inlineStr">
        <is>
          <t>991005028729702656</t>
        </is>
      </c>
      <c r="AX1256" t="inlineStr">
        <is>
          <t>991005028729702656</t>
        </is>
      </c>
      <c r="AY1256" t="inlineStr">
        <is>
          <t>2254922060002656</t>
        </is>
      </c>
      <c r="AZ1256" t="inlineStr">
        <is>
          <t>BOOK</t>
        </is>
      </c>
      <c r="BB1256" t="inlineStr">
        <is>
          <t>9780818503313</t>
        </is>
      </c>
      <c r="BC1256" t="inlineStr">
        <is>
          <t>32285001616274</t>
        </is>
      </c>
      <c r="BD1256" t="inlineStr">
        <is>
          <t>893807725</t>
        </is>
      </c>
    </row>
    <row r="1257">
      <c r="A1257" t="inlineStr">
        <is>
          <t>No</t>
        </is>
      </c>
      <c r="B1257" t="inlineStr">
        <is>
          <t>BF789.D4 B48</t>
        </is>
      </c>
      <c r="C1257" t="inlineStr">
        <is>
          <t>0                      BF 0789000D  4                  B  48</t>
        </is>
      </c>
      <c r="D1257" t="inlineStr">
        <is>
          <t>Between life and death / Robert Kastenbaum, editor.</t>
        </is>
      </c>
      <c r="F1257" t="inlineStr">
        <is>
          <t>No</t>
        </is>
      </c>
      <c r="G1257" t="inlineStr">
        <is>
          <t>1</t>
        </is>
      </c>
      <c r="H1257" t="inlineStr">
        <is>
          <t>Yes</t>
        </is>
      </c>
      <c r="I1257" t="inlineStr">
        <is>
          <t>No</t>
        </is>
      </c>
      <c r="J1257" t="inlineStr">
        <is>
          <t>0</t>
        </is>
      </c>
      <c r="L1257" t="inlineStr">
        <is>
          <t>New York : Springer Pub. Co., c1979.</t>
        </is>
      </c>
      <c r="M1257" t="inlineStr">
        <is>
          <t>1979</t>
        </is>
      </c>
      <c r="O1257" t="inlineStr">
        <is>
          <t>eng</t>
        </is>
      </c>
      <c r="P1257" t="inlineStr">
        <is>
          <t>nyu</t>
        </is>
      </c>
      <c r="Q1257" t="inlineStr">
        <is>
          <t>The Springer series on death and suicide ; v. 1</t>
        </is>
      </c>
      <c r="R1257" t="inlineStr">
        <is>
          <t xml:space="preserve">BF </t>
        </is>
      </c>
      <c r="S1257" t="n">
        <v>2</v>
      </c>
      <c r="T1257" t="n">
        <v>8</v>
      </c>
      <c r="U1257" t="inlineStr">
        <is>
          <t>1992-11-30</t>
        </is>
      </c>
      <c r="V1257" t="inlineStr">
        <is>
          <t>1992-11-30</t>
        </is>
      </c>
      <c r="W1257" t="inlineStr">
        <is>
          <t>1992-02-17</t>
        </is>
      </c>
      <c r="X1257" t="inlineStr">
        <is>
          <t>1992-02-17</t>
        </is>
      </c>
      <c r="Y1257" t="n">
        <v>435</v>
      </c>
      <c r="Z1257" t="n">
        <v>381</v>
      </c>
      <c r="AA1257" t="n">
        <v>388</v>
      </c>
      <c r="AB1257" t="n">
        <v>4</v>
      </c>
      <c r="AC1257" t="n">
        <v>4</v>
      </c>
      <c r="AD1257" t="n">
        <v>10</v>
      </c>
      <c r="AE1257" t="n">
        <v>10</v>
      </c>
      <c r="AF1257" t="n">
        <v>1</v>
      </c>
      <c r="AG1257" t="n">
        <v>1</v>
      </c>
      <c r="AH1257" t="n">
        <v>4</v>
      </c>
      <c r="AI1257" t="n">
        <v>4</v>
      </c>
      <c r="AJ1257" t="n">
        <v>7</v>
      </c>
      <c r="AK1257" t="n">
        <v>7</v>
      </c>
      <c r="AL1257" t="n">
        <v>2</v>
      </c>
      <c r="AM1257" t="n">
        <v>2</v>
      </c>
      <c r="AN1257" t="n">
        <v>0</v>
      </c>
      <c r="AO1257" t="n">
        <v>0</v>
      </c>
      <c r="AP1257" t="inlineStr">
        <is>
          <t>No</t>
        </is>
      </c>
      <c r="AQ1257" t="inlineStr">
        <is>
          <t>Yes</t>
        </is>
      </c>
      <c r="AR1257">
        <f>HYPERLINK("http://catalog.hathitrust.org/Record/000729630","HathiTrust Record")</f>
        <v/>
      </c>
      <c r="AS1257">
        <f>HYPERLINK("https://creighton-primo.hosted.exlibrisgroup.com/primo-explore/search?tab=default_tab&amp;search_scope=EVERYTHING&amp;vid=01CRU&amp;lang=en_US&amp;offset=0&amp;query=any,contains,991001762639702656","Catalog Record")</f>
        <v/>
      </c>
      <c r="AT1257">
        <f>HYPERLINK("http://www.worldcat.org/oclc/5239852","WorldCat Record")</f>
        <v/>
      </c>
      <c r="AU1257" t="inlineStr">
        <is>
          <t>365359319:eng</t>
        </is>
      </c>
      <c r="AV1257" t="inlineStr">
        <is>
          <t>5239852</t>
        </is>
      </c>
      <c r="AW1257" t="inlineStr">
        <is>
          <t>991001762639702656</t>
        </is>
      </c>
      <c r="AX1257" t="inlineStr">
        <is>
          <t>991001762639702656</t>
        </is>
      </c>
      <c r="AY1257" t="inlineStr">
        <is>
          <t>2264339380002656</t>
        </is>
      </c>
      <c r="AZ1257" t="inlineStr">
        <is>
          <t>BOOK</t>
        </is>
      </c>
      <c r="BB1257" t="inlineStr">
        <is>
          <t>9780826125408</t>
        </is>
      </c>
      <c r="BC1257" t="inlineStr">
        <is>
          <t>32285000971068</t>
        </is>
      </c>
      <c r="BD1257" t="inlineStr">
        <is>
          <t>893256495</t>
        </is>
      </c>
    </row>
    <row r="1258">
      <c r="A1258" t="inlineStr">
        <is>
          <t>No</t>
        </is>
      </c>
      <c r="B1258" t="inlineStr">
        <is>
          <t>BF789.D4 C87</t>
        </is>
      </c>
      <c r="C1258" t="inlineStr">
        <is>
          <t>0                      BF 0789000D  4                  C  87</t>
        </is>
      </c>
      <c r="D1258" t="inlineStr">
        <is>
          <t>Coming to terms with death : how to face the inevitable with wisdom and dignity.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Cutter, Fred, 1924-</t>
        </is>
      </c>
      <c r="L1258" t="inlineStr">
        <is>
          <t>Chicago : Nelson-Hall Co., [1974]</t>
        </is>
      </c>
      <c r="M1258" t="inlineStr">
        <is>
          <t>1974</t>
        </is>
      </c>
      <c r="O1258" t="inlineStr">
        <is>
          <t>eng</t>
        </is>
      </c>
      <c r="P1258" t="inlineStr">
        <is>
          <t>ilu</t>
        </is>
      </c>
      <c r="R1258" t="inlineStr">
        <is>
          <t xml:space="preserve">BF </t>
        </is>
      </c>
      <c r="S1258" t="n">
        <v>13</v>
      </c>
      <c r="T1258" t="n">
        <v>13</v>
      </c>
      <c r="U1258" t="inlineStr">
        <is>
          <t>1998-09-11</t>
        </is>
      </c>
      <c r="V1258" t="inlineStr">
        <is>
          <t>1998-09-11</t>
        </is>
      </c>
      <c r="W1258" t="inlineStr">
        <is>
          <t>1990-10-01</t>
        </is>
      </c>
      <c r="X1258" t="inlineStr">
        <is>
          <t>1990-10-01</t>
        </is>
      </c>
      <c r="Y1258" t="n">
        <v>628</v>
      </c>
      <c r="Z1258" t="n">
        <v>591</v>
      </c>
      <c r="AA1258" t="n">
        <v>597</v>
      </c>
      <c r="AB1258" t="n">
        <v>4</v>
      </c>
      <c r="AC1258" t="n">
        <v>4</v>
      </c>
      <c r="AD1258" t="n">
        <v>17</v>
      </c>
      <c r="AE1258" t="n">
        <v>17</v>
      </c>
      <c r="AF1258" t="n">
        <v>6</v>
      </c>
      <c r="AG1258" t="n">
        <v>6</v>
      </c>
      <c r="AH1258" t="n">
        <v>2</v>
      </c>
      <c r="AI1258" t="n">
        <v>2</v>
      </c>
      <c r="AJ1258" t="n">
        <v>10</v>
      </c>
      <c r="AK1258" t="n">
        <v>10</v>
      </c>
      <c r="AL1258" t="n">
        <v>3</v>
      </c>
      <c r="AM1258" t="n">
        <v>3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Yes</t>
        </is>
      </c>
      <c r="AR1258">
        <f>HYPERLINK("http://catalog.hathitrust.org/Record/000431315","HathiTrust Record")</f>
        <v/>
      </c>
      <c r="AS1258">
        <f>HYPERLINK("https://creighton-primo.hosted.exlibrisgroup.com/primo-explore/search?tab=default_tab&amp;search_scope=EVERYTHING&amp;vid=01CRU&amp;lang=en_US&amp;offset=0&amp;query=any,contains,991003362619702656","Catalog Record")</f>
        <v/>
      </c>
      <c r="AT1258">
        <f>HYPERLINK("http://www.worldcat.org/oclc/898187","WorldCat Record")</f>
        <v/>
      </c>
      <c r="AU1258" t="inlineStr">
        <is>
          <t>556583:eng</t>
        </is>
      </c>
      <c r="AV1258" t="inlineStr">
        <is>
          <t>898187</t>
        </is>
      </c>
      <c r="AW1258" t="inlineStr">
        <is>
          <t>991003362619702656</t>
        </is>
      </c>
      <c r="AX1258" t="inlineStr">
        <is>
          <t>991003362619702656</t>
        </is>
      </c>
      <c r="AY1258" t="inlineStr">
        <is>
          <t>2259470900002656</t>
        </is>
      </c>
      <c r="AZ1258" t="inlineStr">
        <is>
          <t>BOOK</t>
        </is>
      </c>
      <c r="BB1258" t="inlineStr">
        <is>
          <t>9780911012293</t>
        </is>
      </c>
      <c r="BC1258" t="inlineStr">
        <is>
          <t>32285000322940</t>
        </is>
      </c>
      <c r="BD1258" t="inlineStr">
        <is>
          <t>893610972</t>
        </is>
      </c>
    </row>
    <row r="1259">
      <c r="A1259" t="inlineStr">
        <is>
          <t>No</t>
        </is>
      </c>
      <c r="B1259" t="inlineStr">
        <is>
          <t>BF789.D4 D44 1975</t>
        </is>
      </c>
      <c r="C1259" t="inlineStr">
        <is>
          <t>0                      BF 0789000D  4                  D  44          1975</t>
        </is>
      </c>
      <c r="D1259" t="inlineStr">
        <is>
          <t>Death, the final stage of growth / Elisabeth Kübler-Ross.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Yes</t>
        </is>
      </c>
      <c r="J1259" t="inlineStr">
        <is>
          <t>0</t>
        </is>
      </c>
      <c r="K1259" t="inlineStr">
        <is>
          <t>Kübler-Ross, Elisabeth.</t>
        </is>
      </c>
      <c r="L1259" t="inlineStr">
        <is>
          <t>Englewood Cliffs, N. J. : Prentice-Hall, [c1975]</t>
        </is>
      </c>
      <c r="M1259" t="inlineStr">
        <is>
          <t>1975</t>
        </is>
      </c>
      <c r="O1259" t="inlineStr">
        <is>
          <t>eng</t>
        </is>
      </c>
      <c r="P1259" t="inlineStr">
        <is>
          <t>nju</t>
        </is>
      </c>
      <c r="Q1259" t="inlineStr">
        <is>
          <t>A Spectrum book</t>
        </is>
      </c>
      <c r="R1259" t="inlineStr">
        <is>
          <t xml:space="preserve">BF </t>
        </is>
      </c>
      <c r="S1259" t="n">
        <v>23</v>
      </c>
      <c r="T1259" t="n">
        <v>23</v>
      </c>
      <c r="U1259" t="inlineStr">
        <is>
          <t>2009-11-05</t>
        </is>
      </c>
      <c r="V1259" t="inlineStr">
        <is>
          <t>2009-11-05</t>
        </is>
      </c>
      <c r="W1259" t="inlineStr">
        <is>
          <t>1990-03-05</t>
        </is>
      </c>
      <c r="X1259" t="inlineStr">
        <is>
          <t>1990-03-05</t>
        </is>
      </c>
      <c r="Y1259" t="n">
        <v>708</v>
      </c>
      <c r="Z1259" t="n">
        <v>561</v>
      </c>
      <c r="AA1259" t="n">
        <v>2974</v>
      </c>
      <c r="AB1259" t="n">
        <v>4</v>
      </c>
      <c r="AC1259" t="n">
        <v>25</v>
      </c>
      <c r="AD1259" t="n">
        <v>16</v>
      </c>
      <c r="AE1259" t="n">
        <v>61</v>
      </c>
      <c r="AF1259" t="n">
        <v>8</v>
      </c>
      <c r="AG1259" t="n">
        <v>25</v>
      </c>
      <c r="AH1259" t="n">
        <v>3</v>
      </c>
      <c r="AI1259" t="n">
        <v>10</v>
      </c>
      <c r="AJ1259" t="n">
        <v>4</v>
      </c>
      <c r="AK1259" t="n">
        <v>29</v>
      </c>
      <c r="AL1259" t="n">
        <v>2</v>
      </c>
      <c r="AM1259" t="n">
        <v>10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Yes</t>
        </is>
      </c>
      <c r="AR1259">
        <f>HYPERLINK("http://catalog.hathitrust.org/Record/000029348","HathiTrust Record")</f>
        <v/>
      </c>
      <c r="AS1259">
        <f>HYPERLINK("https://creighton-primo.hosted.exlibrisgroup.com/primo-explore/search?tab=default_tab&amp;search_scope=EVERYTHING&amp;vid=01CRU&amp;lang=en_US&amp;offset=0&amp;query=any,contains,991001650559702656","Catalog Record")</f>
        <v/>
      </c>
      <c r="AT1259">
        <f>HYPERLINK("http://www.worldcat.org/oclc/1670197","WorldCat Record")</f>
        <v/>
      </c>
      <c r="AU1259" t="inlineStr">
        <is>
          <t>2452571864:eng</t>
        </is>
      </c>
      <c r="AV1259" t="inlineStr">
        <is>
          <t>1670197</t>
        </is>
      </c>
      <c r="AW1259" t="inlineStr">
        <is>
          <t>991001650559702656</t>
        </is>
      </c>
      <c r="AX1259" t="inlineStr">
        <is>
          <t>991001650559702656</t>
        </is>
      </c>
      <c r="AY1259" t="inlineStr">
        <is>
          <t>2265794340002656</t>
        </is>
      </c>
      <c r="AZ1259" t="inlineStr">
        <is>
          <t>BOOK</t>
        </is>
      </c>
      <c r="BB1259" t="inlineStr">
        <is>
          <t>9780131969988</t>
        </is>
      </c>
      <c r="BC1259" t="inlineStr">
        <is>
          <t>32285004389788</t>
        </is>
      </c>
      <c r="BD1259" t="inlineStr">
        <is>
          <t>893420473</t>
        </is>
      </c>
    </row>
    <row r="1260">
      <c r="A1260" t="inlineStr">
        <is>
          <t>No</t>
        </is>
      </c>
      <c r="B1260" t="inlineStr">
        <is>
          <t>BF789.D4 D7</t>
        </is>
      </c>
      <c r="C1260" t="inlineStr">
        <is>
          <t>0                      BF 0789000D  4                  D  7</t>
        </is>
      </c>
      <c r="D1260" t="inlineStr">
        <is>
          <t>Grief counseling and sudden death : a manual and guide / by Polly Doyle.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Doyle, Polly.</t>
        </is>
      </c>
      <c r="L1260" t="inlineStr">
        <is>
          <t>Springfield, Ill. : Thomas, c1980.</t>
        </is>
      </c>
      <c r="M1260" t="inlineStr">
        <is>
          <t>1980</t>
        </is>
      </c>
      <c r="O1260" t="inlineStr">
        <is>
          <t>eng</t>
        </is>
      </c>
      <c r="P1260" t="inlineStr">
        <is>
          <t>ilu</t>
        </is>
      </c>
      <c r="R1260" t="inlineStr">
        <is>
          <t xml:space="preserve">BF </t>
        </is>
      </c>
      <c r="S1260" t="n">
        <v>11</v>
      </c>
      <c r="T1260" t="n">
        <v>11</v>
      </c>
      <c r="U1260" t="inlineStr">
        <is>
          <t>1999-10-15</t>
        </is>
      </c>
      <c r="V1260" t="inlineStr">
        <is>
          <t>1999-10-15</t>
        </is>
      </c>
      <c r="W1260" t="inlineStr">
        <is>
          <t>1991-11-12</t>
        </is>
      </c>
      <c r="X1260" t="inlineStr">
        <is>
          <t>1991-11-12</t>
        </is>
      </c>
      <c r="Y1260" t="n">
        <v>308</v>
      </c>
      <c r="Z1260" t="n">
        <v>266</v>
      </c>
      <c r="AA1260" t="n">
        <v>266</v>
      </c>
      <c r="AB1260" t="n">
        <v>2</v>
      </c>
      <c r="AC1260" t="n">
        <v>2</v>
      </c>
      <c r="AD1260" t="n">
        <v>6</v>
      </c>
      <c r="AE1260" t="n">
        <v>6</v>
      </c>
      <c r="AF1260" t="n">
        <v>3</v>
      </c>
      <c r="AG1260" t="n">
        <v>3</v>
      </c>
      <c r="AH1260" t="n">
        <v>0</v>
      </c>
      <c r="AI1260" t="n">
        <v>0</v>
      </c>
      <c r="AJ1260" t="n">
        <v>5</v>
      </c>
      <c r="AK1260" t="n">
        <v>5</v>
      </c>
      <c r="AL1260" t="n">
        <v>1</v>
      </c>
      <c r="AM1260" t="n">
        <v>1</v>
      </c>
      <c r="AN1260" t="n">
        <v>0</v>
      </c>
      <c r="AO1260" t="n">
        <v>0</v>
      </c>
      <c r="AP1260" t="inlineStr">
        <is>
          <t>No</t>
        </is>
      </c>
      <c r="AQ1260" t="inlineStr">
        <is>
          <t>No</t>
        </is>
      </c>
      <c r="AS1260">
        <f>HYPERLINK("https://creighton-primo.hosted.exlibrisgroup.com/primo-explore/search?tab=default_tab&amp;search_scope=EVERYTHING&amp;vid=01CRU&amp;lang=en_US&amp;offset=0&amp;query=any,contains,991004905319702656","Catalog Record")</f>
        <v/>
      </c>
      <c r="AT1260">
        <f>HYPERLINK("http://www.worldcat.org/oclc/5946483","WorldCat Record")</f>
        <v/>
      </c>
      <c r="AU1260" t="inlineStr">
        <is>
          <t>1027454661:eng</t>
        </is>
      </c>
      <c r="AV1260" t="inlineStr">
        <is>
          <t>5946483</t>
        </is>
      </c>
      <c r="AW1260" t="inlineStr">
        <is>
          <t>991004905319702656</t>
        </is>
      </c>
      <c r="AX1260" t="inlineStr">
        <is>
          <t>991004905319702656</t>
        </is>
      </c>
      <c r="AY1260" t="inlineStr">
        <is>
          <t>2257588200002656</t>
        </is>
      </c>
      <c r="AZ1260" t="inlineStr">
        <is>
          <t>BOOK</t>
        </is>
      </c>
      <c r="BB1260" t="inlineStr">
        <is>
          <t>9780398040604</t>
        </is>
      </c>
      <c r="BC1260" t="inlineStr">
        <is>
          <t>32285000822709</t>
        </is>
      </c>
      <c r="BD1260" t="inlineStr">
        <is>
          <t>893795382</t>
        </is>
      </c>
    </row>
    <row r="1261">
      <c r="A1261" t="inlineStr">
        <is>
          <t>No</t>
        </is>
      </c>
      <c r="B1261" t="inlineStr">
        <is>
          <t>BF789.D4 D86</t>
        </is>
      </c>
      <c r="C1261" t="inlineStr">
        <is>
          <t>0                      BF 0789000D  4                  D  86</t>
        </is>
      </c>
      <c r="D1261" t="inlineStr">
        <is>
          <t>The American view of death: acceptance or denial? By Richard G. Dumont and Dennis C. Foss.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Dumont, Richard G.</t>
        </is>
      </c>
      <c r="L1261" t="inlineStr">
        <is>
          <t>Cambridge, Mass., Schenkman Pub. Co.; distributed by General Learning Press, [Morristown, N.J., 1972]</t>
        </is>
      </c>
      <c r="M1261" t="inlineStr">
        <is>
          <t>1972</t>
        </is>
      </c>
      <c r="O1261" t="inlineStr">
        <is>
          <t>eng</t>
        </is>
      </c>
      <c r="P1261" t="inlineStr">
        <is>
          <t>mau</t>
        </is>
      </c>
      <c r="R1261" t="inlineStr">
        <is>
          <t xml:space="preserve">BF </t>
        </is>
      </c>
      <c r="S1261" t="n">
        <v>9</v>
      </c>
      <c r="T1261" t="n">
        <v>9</v>
      </c>
      <c r="U1261" t="inlineStr">
        <is>
          <t>2004-11-22</t>
        </is>
      </c>
      <c r="V1261" t="inlineStr">
        <is>
          <t>2004-11-22</t>
        </is>
      </c>
      <c r="W1261" t="inlineStr">
        <is>
          <t>1992-04-16</t>
        </is>
      </c>
      <c r="X1261" t="inlineStr">
        <is>
          <t>1992-04-16</t>
        </is>
      </c>
      <c r="Y1261" t="n">
        <v>498</v>
      </c>
      <c r="Z1261" t="n">
        <v>449</v>
      </c>
      <c r="AA1261" t="n">
        <v>462</v>
      </c>
      <c r="AB1261" t="n">
        <v>3</v>
      </c>
      <c r="AC1261" t="n">
        <v>4</v>
      </c>
      <c r="AD1261" t="n">
        <v>11</v>
      </c>
      <c r="AE1261" t="n">
        <v>12</v>
      </c>
      <c r="AF1261" t="n">
        <v>3</v>
      </c>
      <c r="AG1261" t="n">
        <v>3</v>
      </c>
      <c r="AH1261" t="n">
        <v>2</v>
      </c>
      <c r="AI1261" t="n">
        <v>2</v>
      </c>
      <c r="AJ1261" t="n">
        <v>5</v>
      </c>
      <c r="AK1261" t="n">
        <v>5</v>
      </c>
      <c r="AL1261" t="n">
        <v>2</v>
      </c>
      <c r="AM1261" t="n">
        <v>3</v>
      </c>
      <c r="AN1261" t="n">
        <v>0</v>
      </c>
      <c r="AO1261" t="n">
        <v>0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HYPERLINK("http://catalog.hathitrust.org/Record/000431319","HathiTrust Record")</f>
        <v/>
      </c>
      <c r="AS1261">
        <f>HYPERLINK("https://creighton-primo.hosted.exlibrisgroup.com/primo-explore/search?tab=default_tab&amp;search_scope=EVERYTHING&amp;vid=01CRU&amp;lang=en_US&amp;offset=0&amp;query=any,contains,991002732899702656","Catalog Record")</f>
        <v/>
      </c>
      <c r="AT1261">
        <f>HYPERLINK("http://www.worldcat.org/oclc/417919","WorldCat Record")</f>
        <v/>
      </c>
      <c r="AU1261" t="inlineStr">
        <is>
          <t>1490419:eng</t>
        </is>
      </c>
      <c r="AV1261" t="inlineStr">
        <is>
          <t>417919</t>
        </is>
      </c>
      <c r="AW1261" t="inlineStr">
        <is>
          <t>991002732899702656</t>
        </is>
      </c>
      <c r="AX1261" t="inlineStr">
        <is>
          <t>991002732899702656</t>
        </is>
      </c>
      <c r="AY1261" t="inlineStr">
        <is>
          <t>2258266830002656</t>
        </is>
      </c>
      <c r="AZ1261" t="inlineStr">
        <is>
          <t>BOOK</t>
        </is>
      </c>
      <c r="BC1261" t="inlineStr">
        <is>
          <t>32285001068898</t>
        </is>
      </c>
      <c r="BD1261" t="inlineStr">
        <is>
          <t>893880337</t>
        </is>
      </c>
    </row>
    <row r="1262">
      <c r="A1262" t="inlineStr">
        <is>
          <t>No</t>
        </is>
      </c>
      <c r="B1262" t="inlineStr">
        <is>
          <t>BF789.D4 F148 1974</t>
        </is>
      </c>
      <c r="C1262" t="inlineStr">
        <is>
          <t>0                      BF 0789000D  4                  F  148         1974</t>
        </is>
      </c>
      <c r="D1262" t="inlineStr">
        <is>
          <t>Fears related to death and suicide / papers by Marvin J. Feldman, Paul J. Handal, Hyman S. Barahal, et al.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L1262" t="inlineStr">
        <is>
          <t>New York : MSS Information Corp., 1974.</t>
        </is>
      </c>
      <c r="M1262" t="inlineStr">
        <is>
          <t>1974</t>
        </is>
      </c>
      <c r="O1262" t="inlineStr">
        <is>
          <t>eng</t>
        </is>
      </c>
      <c r="P1262" t="inlineStr">
        <is>
          <t>nyu</t>
        </is>
      </c>
      <c r="Q1262" t="inlineStr">
        <is>
          <t>MSS' series on attitudes toward death</t>
        </is>
      </c>
      <c r="R1262" t="inlineStr">
        <is>
          <t xml:space="preserve">BF </t>
        </is>
      </c>
      <c r="S1262" t="n">
        <v>1</v>
      </c>
      <c r="T1262" t="n">
        <v>1</v>
      </c>
      <c r="U1262" t="inlineStr">
        <is>
          <t>2006-11-15</t>
        </is>
      </c>
      <c r="V1262" t="inlineStr">
        <is>
          <t>2006-11-15</t>
        </is>
      </c>
      <c r="W1262" t="inlineStr">
        <is>
          <t>2000-06-15</t>
        </is>
      </c>
      <c r="X1262" t="inlineStr">
        <is>
          <t>2000-06-15</t>
        </is>
      </c>
      <c r="Y1262" t="n">
        <v>244</v>
      </c>
      <c r="Z1262" t="n">
        <v>215</v>
      </c>
      <c r="AA1262" t="n">
        <v>216</v>
      </c>
      <c r="AB1262" t="n">
        <v>1</v>
      </c>
      <c r="AC1262" t="n">
        <v>1</v>
      </c>
      <c r="AD1262" t="n">
        <v>7</v>
      </c>
      <c r="AE1262" t="n">
        <v>7</v>
      </c>
      <c r="AF1262" t="n">
        <v>3</v>
      </c>
      <c r="AG1262" t="n">
        <v>3</v>
      </c>
      <c r="AH1262" t="n">
        <v>1</v>
      </c>
      <c r="AI1262" t="n">
        <v>1</v>
      </c>
      <c r="AJ1262" t="n">
        <v>5</v>
      </c>
      <c r="AK1262" t="n">
        <v>5</v>
      </c>
      <c r="AL1262" t="n">
        <v>1</v>
      </c>
      <c r="AM1262" t="n">
        <v>1</v>
      </c>
      <c r="AN1262" t="n">
        <v>0</v>
      </c>
      <c r="AO1262" t="n">
        <v>0</v>
      </c>
      <c r="AP1262" t="inlineStr">
        <is>
          <t>No</t>
        </is>
      </c>
      <c r="AQ1262" t="inlineStr">
        <is>
          <t>Yes</t>
        </is>
      </c>
      <c r="AR1262">
        <f>HYPERLINK("http://catalog.hathitrust.org/Record/000009776","HathiTrust Record")</f>
        <v/>
      </c>
      <c r="AS1262">
        <f>HYPERLINK("https://creighton-primo.hosted.exlibrisgroup.com/primo-explore/search?tab=default_tab&amp;search_scope=EVERYTHING&amp;vid=01CRU&amp;lang=en_US&amp;offset=0&amp;query=any,contains,991003090849702656","Catalog Record")</f>
        <v/>
      </c>
      <c r="AT1262">
        <f>HYPERLINK("http://www.worldcat.org/oclc/694021","WorldCat Record")</f>
        <v/>
      </c>
      <c r="AU1262" t="inlineStr">
        <is>
          <t>506111:eng</t>
        </is>
      </c>
      <c r="AV1262" t="inlineStr">
        <is>
          <t>694021</t>
        </is>
      </c>
      <c r="AW1262" t="inlineStr">
        <is>
          <t>991003090849702656</t>
        </is>
      </c>
      <c r="AX1262" t="inlineStr">
        <is>
          <t>991003090849702656</t>
        </is>
      </c>
      <c r="AY1262" t="inlineStr">
        <is>
          <t>2262085460002656</t>
        </is>
      </c>
      <c r="AZ1262" t="inlineStr">
        <is>
          <t>BOOK</t>
        </is>
      </c>
      <c r="BB1262" t="inlineStr">
        <is>
          <t>9780842271493</t>
        </is>
      </c>
      <c r="BC1262" t="inlineStr">
        <is>
          <t>32285003560785</t>
        </is>
      </c>
      <c r="BD1262" t="inlineStr">
        <is>
          <t>893623149</t>
        </is>
      </c>
    </row>
    <row r="1263">
      <c r="A1263" t="inlineStr">
        <is>
          <t>No</t>
        </is>
      </c>
      <c r="B1263" t="inlineStr">
        <is>
          <t>BF789.D4 F8 1976</t>
        </is>
      </c>
      <c r="C1263" t="inlineStr">
        <is>
          <t>0                      BF 0789000D  4                  F  8           1976</t>
        </is>
      </c>
      <c r="D1263" t="inlineStr">
        <is>
          <t>Death and identity / Robert Fulton, editor, in collaboration with Robert Bendiksen.</t>
        </is>
      </c>
      <c r="F1263" t="inlineStr">
        <is>
          <t>No</t>
        </is>
      </c>
      <c r="G1263" t="inlineStr">
        <is>
          <t>1</t>
        </is>
      </c>
      <c r="H1263" t="inlineStr">
        <is>
          <t>Yes</t>
        </is>
      </c>
      <c r="I1263" t="inlineStr">
        <is>
          <t>No</t>
        </is>
      </c>
      <c r="J1263" t="inlineStr">
        <is>
          <t>0</t>
        </is>
      </c>
      <c r="K1263" t="inlineStr">
        <is>
          <t>Fulton, Robert, 1926- editor.</t>
        </is>
      </c>
      <c r="L1263" t="inlineStr">
        <is>
          <t>Bowie, Md. : Charles Press, c1976.</t>
        </is>
      </c>
      <c r="M1263" t="inlineStr">
        <is>
          <t>1976</t>
        </is>
      </c>
      <c r="N1263" t="inlineStr">
        <is>
          <t>Rev. ed.</t>
        </is>
      </c>
      <c r="O1263" t="inlineStr">
        <is>
          <t>eng</t>
        </is>
      </c>
      <c r="P1263" t="inlineStr">
        <is>
          <t>mdu</t>
        </is>
      </c>
      <c r="R1263" t="inlineStr">
        <is>
          <t xml:space="preserve">BF </t>
        </is>
      </c>
      <c r="S1263" t="n">
        <v>3</v>
      </c>
      <c r="T1263" t="n">
        <v>4</v>
      </c>
      <c r="U1263" t="inlineStr">
        <is>
          <t>2000-10-29</t>
        </is>
      </c>
      <c r="V1263" t="inlineStr">
        <is>
          <t>2000-10-29</t>
        </is>
      </c>
      <c r="W1263" t="inlineStr">
        <is>
          <t>1993-03-18</t>
        </is>
      </c>
      <c r="X1263" t="inlineStr">
        <is>
          <t>1993-03-18</t>
        </is>
      </c>
      <c r="Y1263" t="n">
        <v>473</v>
      </c>
      <c r="Z1263" t="n">
        <v>421</v>
      </c>
      <c r="AA1263" t="n">
        <v>1021</v>
      </c>
      <c r="AB1263" t="n">
        <v>4</v>
      </c>
      <c r="AC1263" t="n">
        <v>9</v>
      </c>
      <c r="AD1263" t="n">
        <v>21</v>
      </c>
      <c r="AE1263" t="n">
        <v>38</v>
      </c>
      <c r="AF1263" t="n">
        <v>9</v>
      </c>
      <c r="AG1263" t="n">
        <v>13</v>
      </c>
      <c r="AH1263" t="n">
        <v>4</v>
      </c>
      <c r="AI1263" t="n">
        <v>6</v>
      </c>
      <c r="AJ1263" t="n">
        <v>11</v>
      </c>
      <c r="AK1263" t="n">
        <v>22</v>
      </c>
      <c r="AL1263" t="n">
        <v>2</v>
      </c>
      <c r="AM1263" t="n">
        <v>6</v>
      </c>
      <c r="AN1263" t="n">
        <v>0</v>
      </c>
      <c r="AO1263" t="n">
        <v>1</v>
      </c>
      <c r="AP1263" t="inlineStr">
        <is>
          <t>No</t>
        </is>
      </c>
      <c r="AQ1263" t="inlineStr">
        <is>
          <t>Yes</t>
        </is>
      </c>
      <c r="AR1263">
        <f>HYPERLINK("http://catalog.hathitrust.org/Record/007550926","HathiTrust Record")</f>
        <v/>
      </c>
      <c r="AS1263">
        <f>HYPERLINK("https://creighton-primo.hosted.exlibrisgroup.com/primo-explore/search?tab=default_tab&amp;search_scope=EVERYTHING&amp;vid=01CRU&amp;lang=en_US&amp;offset=0&amp;query=any,contains,991001761829702656","Catalog Record")</f>
        <v/>
      </c>
      <c r="AT1263">
        <f>HYPERLINK("http://www.worldcat.org/oclc/2318294","WorldCat Record")</f>
        <v/>
      </c>
      <c r="AU1263" t="inlineStr">
        <is>
          <t>355194295:eng</t>
        </is>
      </c>
      <c r="AV1263" t="inlineStr">
        <is>
          <t>2318294</t>
        </is>
      </c>
      <c r="AW1263" t="inlineStr">
        <is>
          <t>991001761829702656</t>
        </is>
      </c>
      <c r="AX1263" t="inlineStr">
        <is>
          <t>991001761829702656</t>
        </is>
      </c>
      <c r="AY1263" t="inlineStr">
        <is>
          <t>2263976470002656</t>
        </is>
      </c>
      <c r="AZ1263" t="inlineStr">
        <is>
          <t>BOOK</t>
        </is>
      </c>
      <c r="BB1263" t="inlineStr">
        <is>
          <t>9780913486788</t>
        </is>
      </c>
      <c r="BC1263" t="inlineStr">
        <is>
          <t>32285001574341</t>
        </is>
      </c>
      <c r="BD1263" t="inlineStr">
        <is>
          <t>893503665</t>
        </is>
      </c>
    </row>
    <row r="1264">
      <c r="A1264" t="inlineStr">
        <is>
          <t>No</t>
        </is>
      </c>
      <c r="B1264" t="inlineStr">
        <is>
          <t>BF789.D4 G5</t>
        </is>
      </c>
      <c r="C1264" t="inlineStr">
        <is>
          <t>0                      BF 0789000D  4                  G  5</t>
        </is>
      </c>
      <c r="D1264" t="inlineStr">
        <is>
          <t>Awareness of dying / by Barney G. Glaser and Anselm L. Strauss.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No</t>
        </is>
      </c>
      <c r="J1264" t="inlineStr">
        <is>
          <t>0</t>
        </is>
      </c>
      <c r="K1264" t="inlineStr">
        <is>
          <t>Glaser, Barney G.</t>
        </is>
      </c>
      <c r="L1264" t="inlineStr">
        <is>
          <t>Chicago : Aldine Pub. Co., [1965]</t>
        </is>
      </c>
      <c r="M1264" t="inlineStr">
        <is>
          <t>1965</t>
        </is>
      </c>
      <c r="O1264" t="inlineStr">
        <is>
          <t>eng</t>
        </is>
      </c>
      <c r="P1264" t="inlineStr">
        <is>
          <t>ilu</t>
        </is>
      </c>
      <c r="Q1264" t="inlineStr">
        <is>
          <t>Observations</t>
        </is>
      </c>
      <c r="R1264" t="inlineStr">
        <is>
          <t xml:space="preserve">BF </t>
        </is>
      </c>
      <c r="S1264" t="n">
        <v>6</v>
      </c>
      <c r="T1264" t="n">
        <v>6</v>
      </c>
      <c r="U1264" t="inlineStr">
        <is>
          <t>2009-10-19</t>
        </is>
      </c>
      <c r="V1264" t="inlineStr">
        <is>
          <t>2009-10-19</t>
        </is>
      </c>
      <c r="W1264" t="inlineStr">
        <is>
          <t>1993-08-09</t>
        </is>
      </c>
      <c r="X1264" t="inlineStr">
        <is>
          <t>1993-08-09</t>
        </is>
      </c>
      <c r="Y1264" t="n">
        <v>1065</v>
      </c>
      <c r="Z1264" t="n">
        <v>944</v>
      </c>
      <c r="AA1264" t="n">
        <v>1062</v>
      </c>
      <c r="AB1264" t="n">
        <v>3</v>
      </c>
      <c r="AC1264" t="n">
        <v>4</v>
      </c>
      <c r="AD1264" t="n">
        <v>28</v>
      </c>
      <c r="AE1264" t="n">
        <v>33</v>
      </c>
      <c r="AF1264" t="n">
        <v>10</v>
      </c>
      <c r="AG1264" t="n">
        <v>11</v>
      </c>
      <c r="AH1264" t="n">
        <v>8</v>
      </c>
      <c r="AI1264" t="n">
        <v>9</v>
      </c>
      <c r="AJ1264" t="n">
        <v>16</v>
      </c>
      <c r="AK1264" t="n">
        <v>19</v>
      </c>
      <c r="AL1264" t="n">
        <v>2</v>
      </c>
      <c r="AM1264" t="n">
        <v>3</v>
      </c>
      <c r="AN1264" t="n">
        <v>0</v>
      </c>
      <c r="AO1264" t="n">
        <v>0</v>
      </c>
      <c r="AP1264" t="inlineStr">
        <is>
          <t>No</t>
        </is>
      </c>
      <c r="AQ1264" t="inlineStr">
        <is>
          <t>No</t>
        </is>
      </c>
      <c r="AS1264">
        <f>HYPERLINK("https://creighton-primo.hosted.exlibrisgroup.com/primo-explore/search?tab=default_tab&amp;search_scope=EVERYTHING&amp;vid=01CRU&amp;lang=en_US&amp;offset=0&amp;query=any,contains,991001369379702656","Catalog Record")</f>
        <v/>
      </c>
      <c r="AT1264">
        <f>HYPERLINK("http://www.worldcat.org/oclc/223063","WorldCat Record")</f>
        <v/>
      </c>
      <c r="AU1264" t="inlineStr">
        <is>
          <t>417276:eng</t>
        </is>
      </c>
      <c r="AV1264" t="inlineStr">
        <is>
          <t>223063</t>
        </is>
      </c>
      <c r="AW1264" t="inlineStr">
        <is>
          <t>991001369379702656</t>
        </is>
      </c>
      <c r="AX1264" t="inlineStr">
        <is>
          <t>991001369379702656</t>
        </is>
      </c>
      <c r="AY1264" t="inlineStr">
        <is>
          <t>2262268220002656</t>
        </is>
      </c>
      <c r="AZ1264" t="inlineStr">
        <is>
          <t>BOOK</t>
        </is>
      </c>
      <c r="BB1264" t="inlineStr">
        <is>
          <t>9780202300016</t>
        </is>
      </c>
      <c r="BC1264" t="inlineStr">
        <is>
          <t>32285001751428</t>
        </is>
      </c>
      <c r="BD1264" t="inlineStr">
        <is>
          <t>893516149</t>
        </is>
      </c>
    </row>
    <row r="1265">
      <c r="A1265" t="inlineStr">
        <is>
          <t>No</t>
        </is>
      </c>
      <c r="B1265" t="inlineStr">
        <is>
          <t>BF789.D4 K36</t>
        </is>
      </c>
      <c r="C1265" t="inlineStr">
        <is>
          <t>0                      BF 0789000D  4                  K  36</t>
        </is>
      </c>
      <c r="D1265" t="inlineStr">
        <is>
          <t>Death, society, &amp; human experience / Robert J. Kastenbaum.</t>
        </is>
      </c>
      <c r="F1265" t="inlineStr">
        <is>
          <t>No</t>
        </is>
      </c>
      <c r="G1265" t="inlineStr">
        <is>
          <t>1</t>
        </is>
      </c>
      <c r="H1265" t="inlineStr">
        <is>
          <t>No</t>
        </is>
      </c>
      <c r="I1265" t="inlineStr">
        <is>
          <t>Yes</t>
        </is>
      </c>
      <c r="J1265" t="inlineStr">
        <is>
          <t>0</t>
        </is>
      </c>
      <c r="K1265" t="inlineStr">
        <is>
          <t>Kastenbaum, Robert.</t>
        </is>
      </c>
      <c r="L1265" t="inlineStr">
        <is>
          <t>Saint Louis : Mosby, 1977.</t>
        </is>
      </c>
      <c r="M1265" t="inlineStr">
        <is>
          <t>1977</t>
        </is>
      </c>
      <c r="O1265" t="inlineStr">
        <is>
          <t>eng</t>
        </is>
      </c>
      <c r="P1265" t="inlineStr">
        <is>
          <t>mou</t>
        </is>
      </c>
      <c r="R1265" t="inlineStr">
        <is>
          <t xml:space="preserve">BF </t>
        </is>
      </c>
      <c r="S1265" t="n">
        <v>4</v>
      </c>
      <c r="T1265" t="n">
        <v>4</v>
      </c>
      <c r="U1265" t="inlineStr">
        <is>
          <t>2000-04-07</t>
        </is>
      </c>
      <c r="V1265" t="inlineStr">
        <is>
          <t>2000-04-07</t>
        </is>
      </c>
      <c r="W1265" t="inlineStr">
        <is>
          <t>1990-10-01</t>
        </is>
      </c>
      <c r="X1265" t="inlineStr">
        <is>
          <t>1990-10-01</t>
        </is>
      </c>
      <c r="Y1265" t="n">
        <v>523</v>
      </c>
      <c r="Z1265" t="n">
        <v>426</v>
      </c>
      <c r="AA1265" t="n">
        <v>1201</v>
      </c>
      <c r="AB1265" t="n">
        <v>4</v>
      </c>
      <c r="AC1265" t="n">
        <v>10</v>
      </c>
      <c r="AD1265" t="n">
        <v>21</v>
      </c>
      <c r="AE1265" t="n">
        <v>44</v>
      </c>
      <c r="AF1265" t="n">
        <v>9</v>
      </c>
      <c r="AG1265" t="n">
        <v>21</v>
      </c>
      <c r="AH1265" t="n">
        <v>5</v>
      </c>
      <c r="AI1265" t="n">
        <v>9</v>
      </c>
      <c r="AJ1265" t="n">
        <v>9</v>
      </c>
      <c r="AK1265" t="n">
        <v>18</v>
      </c>
      <c r="AL1265" t="n">
        <v>3</v>
      </c>
      <c r="AM1265" t="n">
        <v>7</v>
      </c>
      <c r="AN1265" t="n">
        <v>0</v>
      </c>
      <c r="AO1265" t="n">
        <v>1</v>
      </c>
      <c r="AP1265" t="inlineStr">
        <is>
          <t>No</t>
        </is>
      </c>
      <c r="AQ1265" t="inlineStr">
        <is>
          <t>Yes</t>
        </is>
      </c>
      <c r="AR1265">
        <f>HYPERLINK("http://catalog.hathitrust.org/Record/000018552","HathiTrust Record")</f>
        <v/>
      </c>
      <c r="AS1265">
        <f>HYPERLINK("https://creighton-primo.hosted.exlibrisgroup.com/primo-explore/search?tab=default_tab&amp;search_scope=EVERYTHING&amp;vid=01CRU&amp;lang=en_US&amp;offset=0&amp;query=any,contains,991005253819702656","Catalog Record")</f>
        <v/>
      </c>
      <c r="AT1265">
        <f>HYPERLINK("http://www.worldcat.org/oclc/2645371","WorldCat Record")</f>
        <v/>
      </c>
      <c r="AU1265" t="inlineStr">
        <is>
          <t>600725:eng</t>
        </is>
      </c>
      <c r="AV1265" t="inlineStr">
        <is>
          <t>2645371</t>
        </is>
      </c>
      <c r="AW1265" t="inlineStr">
        <is>
          <t>991005253819702656</t>
        </is>
      </c>
      <c r="AX1265" t="inlineStr">
        <is>
          <t>991005253819702656</t>
        </is>
      </c>
      <c r="AY1265" t="inlineStr">
        <is>
          <t>2256744020002656</t>
        </is>
      </c>
      <c r="AZ1265" t="inlineStr">
        <is>
          <t>BOOK</t>
        </is>
      </c>
      <c r="BB1265" t="inlineStr">
        <is>
          <t>9780801626173</t>
        </is>
      </c>
      <c r="BC1265" t="inlineStr">
        <is>
          <t>32285000322973</t>
        </is>
      </c>
      <c r="BD1265" t="inlineStr">
        <is>
          <t>893332668</t>
        </is>
      </c>
    </row>
    <row r="1266">
      <c r="A1266" t="inlineStr">
        <is>
          <t>No</t>
        </is>
      </c>
      <c r="B1266" t="inlineStr">
        <is>
          <t>BF789.D4 L54</t>
        </is>
      </c>
      <c r="C1266" t="inlineStr">
        <is>
          <t>0                      BF 0789000D  4                  L  54</t>
        </is>
      </c>
      <c r="D1266" t="inlineStr">
        <is>
          <t>Six lives, six deaths : portraits from modern Japan / Robert Jay Lifton, Shūichi Katō, and Michael R. Reich.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Lifton, Robert Jay, 1926-</t>
        </is>
      </c>
      <c r="L1266" t="inlineStr">
        <is>
          <t>New Haven, Conn. : Yale University Press, 1979.</t>
        </is>
      </c>
      <c r="M1266" t="inlineStr">
        <is>
          <t>1979</t>
        </is>
      </c>
      <c r="O1266" t="inlineStr">
        <is>
          <t>eng</t>
        </is>
      </c>
      <c r="P1266" t="inlineStr">
        <is>
          <t>ctu</t>
        </is>
      </c>
      <c r="R1266" t="inlineStr">
        <is>
          <t xml:space="preserve">BF </t>
        </is>
      </c>
      <c r="S1266" t="n">
        <v>2</v>
      </c>
      <c r="T1266" t="n">
        <v>2</v>
      </c>
      <c r="U1266" t="inlineStr">
        <is>
          <t>2004-11-22</t>
        </is>
      </c>
      <c r="V1266" t="inlineStr">
        <is>
          <t>2004-11-22</t>
        </is>
      </c>
      <c r="W1266" t="inlineStr">
        <is>
          <t>1993-04-12</t>
        </is>
      </c>
      <c r="X1266" t="inlineStr">
        <is>
          <t>1993-04-12</t>
        </is>
      </c>
      <c r="Y1266" t="n">
        <v>718</v>
      </c>
      <c r="Z1266" t="n">
        <v>590</v>
      </c>
      <c r="AA1266" t="n">
        <v>591</v>
      </c>
      <c r="AB1266" t="n">
        <v>5</v>
      </c>
      <c r="AC1266" t="n">
        <v>5</v>
      </c>
      <c r="AD1266" t="n">
        <v>29</v>
      </c>
      <c r="AE1266" t="n">
        <v>29</v>
      </c>
      <c r="AF1266" t="n">
        <v>10</v>
      </c>
      <c r="AG1266" t="n">
        <v>10</v>
      </c>
      <c r="AH1266" t="n">
        <v>8</v>
      </c>
      <c r="AI1266" t="n">
        <v>8</v>
      </c>
      <c r="AJ1266" t="n">
        <v>16</v>
      </c>
      <c r="AK1266" t="n">
        <v>16</v>
      </c>
      <c r="AL1266" t="n">
        <v>3</v>
      </c>
      <c r="AM1266" t="n">
        <v>3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No</t>
        </is>
      </c>
      <c r="AS1266">
        <f>HYPERLINK("https://creighton-primo.hosted.exlibrisgroup.com/primo-explore/search?tab=default_tab&amp;search_scope=EVERYTHING&amp;vid=01CRU&amp;lang=en_US&amp;offset=0&amp;query=any,contains,991004662239702656","Catalog Record")</f>
        <v/>
      </c>
      <c r="AT1266">
        <f>HYPERLINK("http://www.worldcat.org/oclc/4497595","WorldCat Record")</f>
        <v/>
      </c>
      <c r="AU1266" t="inlineStr">
        <is>
          <t>906989830:eng</t>
        </is>
      </c>
      <c r="AV1266" t="inlineStr">
        <is>
          <t>4497595</t>
        </is>
      </c>
      <c r="AW1266" t="inlineStr">
        <is>
          <t>991004662239702656</t>
        </is>
      </c>
      <c r="AX1266" t="inlineStr">
        <is>
          <t>991004662239702656</t>
        </is>
      </c>
      <c r="AY1266" t="inlineStr">
        <is>
          <t>2266866080002656</t>
        </is>
      </c>
      <c r="AZ1266" t="inlineStr">
        <is>
          <t>BOOK</t>
        </is>
      </c>
      <c r="BB1266" t="inlineStr">
        <is>
          <t>9780300022667</t>
        </is>
      </c>
      <c r="BC1266" t="inlineStr">
        <is>
          <t>32285001616290</t>
        </is>
      </c>
      <c r="BD1266" t="inlineStr">
        <is>
          <t>893795126</t>
        </is>
      </c>
    </row>
    <row r="1267">
      <c r="A1267" t="inlineStr">
        <is>
          <t>No</t>
        </is>
      </c>
      <c r="B1267" t="inlineStr">
        <is>
          <t>BF789.D4 L63</t>
        </is>
      </c>
      <c r="C1267" t="inlineStr">
        <is>
          <t>0                      BF 0789000D  4                  L  63</t>
        </is>
      </c>
      <c r="D1267" t="inlineStr">
        <is>
          <t>The craft of dying : the modern face of death / Lyn H. Lofland.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Lofland, Lyn H.</t>
        </is>
      </c>
      <c r="L1267" t="inlineStr">
        <is>
          <t>Beverly Hills : Sage Publications, c1978.</t>
        </is>
      </c>
      <c r="M1267" t="inlineStr">
        <is>
          <t>1978</t>
        </is>
      </c>
      <c r="O1267" t="inlineStr">
        <is>
          <t>eng</t>
        </is>
      </c>
      <c r="P1267" t="inlineStr">
        <is>
          <t>cau</t>
        </is>
      </c>
      <c r="R1267" t="inlineStr">
        <is>
          <t xml:space="preserve">BF </t>
        </is>
      </c>
      <c r="S1267" t="n">
        <v>10</v>
      </c>
      <c r="T1267" t="n">
        <v>10</v>
      </c>
      <c r="U1267" t="inlineStr">
        <is>
          <t>2002-06-20</t>
        </is>
      </c>
      <c r="V1267" t="inlineStr">
        <is>
          <t>2002-06-20</t>
        </is>
      </c>
      <c r="W1267" t="inlineStr">
        <is>
          <t>1990-02-20</t>
        </is>
      </c>
      <c r="X1267" t="inlineStr">
        <is>
          <t>1990-02-20</t>
        </is>
      </c>
      <c r="Y1267" t="n">
        <v>475</v>
      </c>
      <c r="Z1267" t="n">
        <v>419</v>
      </c>
      <c r="AA1267" t="n">
        <v>425</v>
      </c>
      <c r="AB1267" t="n">
        <v>3</v>
      </c>
      <c r="AC1267" t="n">
        <v>3</v>
      </c>
      <c r="AD1267" t="n">
        <v>17</v>
      </c>
      <c r="AE1267" t="n">
        <v>17</v>
      </c>
      <c r="AF1267" t="n">
        <v>4</v>
      </c>
      <c r="AG1267" t="n">
        <v>4</v>
      </c>
      <c r="AH1267" t="n">
        <v>4</v>
      </c>
      <c r="AI1267" t="n">
        <v>4</v>
      </c>
      <c r="AJ1267" t="n">
        <v>11</v>
      </c>
      <c r="AK1267" t="n">
        <v>11</v>
      </c>
      <c r="AL1267" t="n">
        <v>2</v>
      </c>
      <c r="AM1267" t="n">
        <v>2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Yes</t>
        </is>
      </c>
      <c r="AR1267">
        <f>HYPERLINK("http://catalog.hathitrust.org/Record/000256259","HathiTrust Record")</f>
        <v/>
      </c>
      <c r="AS1267">
        <f>HYPERLINK("https://creighton-primo.hosted.exlibrisgroup.com/primo-explore/search?tab=default_tab&amp;search_scope=EVERYTHING&amp;vid=01CRU&amp;lang=en_US&amp;offset=0&amp;query=any,contains,991004656729702656","Catalog Record")</f>
        <v/>
      </c>
      <c r="AT1267">
        <f>HYPERLINK("http://www.worldcat.org/oclc/4495591","WorldCat Record")</f>
        <v/>
      </c>
      <c r="AU1267" t="inlineStr">
        <is>
          <t>20534494:eng</t>
        </is>
      </c>
      <c r="AV1267" t="inlineStr">
        <is>
          <t>4495591</t>
        </is>
      </c>
      <c r="AW1267" t="inlineStr">
        <is>
          <t>991004656729702656</t>
        </is>
      </c>
      <c r="AX1267" t="inlineStr">
        <is>
          <t>991004656729702656</t>
        </is>
      </c>
      <c r="AY1267" t="inlineStr">
        <is>
          <t>2268140040002656</t>
        </is>
      </c>
      <c r="AZ1267" t="inlineStr">
        <is>
          <t>BOOK</t>
        </is>
      </c>
      <c r="BB1267" t="inlineStr">
        <is>
          <t>9780809310999</t>
        </is>
      </c>
      <c r="BC1267" t="inlineStr">
        <is>
          <t>32285000055516</t>
        </is>
      </c>
      <c r="BD1267" t="inlineStr">
        <is>
          <t>893901487</t>
        </is>
      </c>
    </row>
    <row r="1268">
      <c r="A1268" t="inlineStr">
        <is>
          <t>No</t>
        </is>
      </c>
      <c r="B1268" t="inlineStr">
        <is>
          <t>BF789.D4 L65 1986</t>
        </is>
      </c>
      <c r="C1268" t="inlineStr">
        <is>
          <t>0                      BF 0789000D  4                  L  65          1986</t>
        </is>
      </c>
      <c r="D1268" t="inlineStr">
        <is>
          <t>Death anxiety / Richard Lonetto, Donald I. Templer.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Lonetto, Richard.</t>
        </is>
      </c>
      <c r="L1268" t="inlineStr">
        <is>
          <t>New York : Hemisphere Pub. Corp., c1986.</t>
        </is>
      </c>
      <c r="M1268" t="inlineStr">
        <is>
          <t>1986</t>
        </is>
      </c>
      <c r="O1268" t="inlineStr">
        <is>
          <t>eng</t>
        </is>
      </c>
      <c r="P1268" t="inlineStr">
        <is>
          <t>wau</t>
        </is>
      </c>
      <c r="Q1268" t="inlineStr">
        <is>
          <t>The Series in health psychology and behavioral medicine</t>
        </is>
      </c>
      <c r="R1268" t="inlineStr">
        <is>
          <t xml:space="preserve">BF </t>
        </is>
      </c>
      <c r="S1268" t="n">
        <v>19</v>
      </c>
      <c r="T1268" t="n">
        <v>19</v>
      </c>
      <c r="U1268" t="inlineStr">
        <is>
          <t>2005-03-16</t>
        </is>
      </c>
      <c r="V1268" t="inlineStr">
        <is>
          <t>2005-03-16</t>
        </is>
      </c>
      <c r="W1268" t="inlineStr">
        <is>
          <t>1990-07-16</t>
        </is>
      </c>
      <c r="X1268" t="inlineStr">
        <is>
          <t>1990-07-16</t>
        </is>
      </c>
      <c r="Y1268" t="n">
        <v>380</v>
      </c>
      <c r="Z1268" t="n">
        <v>326</v>
      </c>
      <c r="AA1268" t="n">
        <v>333</v>
      </c>
      <c r="AB1268" t="n">
        <v>3</v>
      </c>
      <c r="AC1268" t="n">
        <v>3</v>
      </c>
      <c r="AD1268" t="n">
        <v>12</v>
      </c>
      <c r="AE1268" t="n">
        <v>12</v>
      </c>
      <c r="AF1268" t="n">
        <v>2</v>
      </c>
      <c r="AG1268" t="n">
        <v>2</v>
      </c>
      <c r="AH1268" t="n">
        <v>2</v>
      </c>
      <c r="AI1268" t="n">
        <v>2</v>
      </c>
      <c r="AJ1268" t="n">
        <v>6</v>
      </c>
      <c r="AK1268" t="n">
        <v>6</v>
      </c>
      <c r="AL1268" t="n">
        <v>2</v>
      </c>
      <c r="AM1268" t="n">
        <v>2</v>
      </c>
      <c r="AN1268" t="n">
        <v>0</v>
      </c>
      <c r="AO1268" t="n">
        <v>0</v>
      </c>
      <c r="AP1268" t="inlineStr">
        <is>
          <t>No</t>
        </is>
      </c>
      <c r="AQ1268" t="inlineStr">
        <is>
          <t>Yes</t>
        </is>
      </c>
      <c r="AR1268">
        <f>HYPERLINK("http://catalog.hathitrust.org/Record/000489350","HathiTrust Record")</f>
        <v/>
      </c>
      <c r="AS1268">
        <f>HYPERLINK("https://creighton-primo.hosted.exlibrisgroup.com/primo-explore/search?tab=default_tab&amp;search_scope=EVERYTHING&amp;vid=01CRU&amp;lang=en_US&amp;offset=0&amp;query=any,contains,991000799099702656","Catalog Record")</f>
        <v/>
      </c>
      <c r="AT1268">
        <f>HYPERLINK("http://www.worldcat.org/oclc/13216404","WorldCat Record")</f>
        <v/>
      </c>
      <c r="AU1268" t="inlineStr">
        <is>
          <t>7078455:eng</t>
        </is>
      </c>
      <c r="AV1268" t="inlineStr">
        <is>
          <t>13216404</t>
        </is>
      </c>
      <c r="AW1268" t="inlineStr">
        <is>
          <t>991000799099702656</t>
        </is>
      </c>
      <c r="AX1268" t="inlineStr">
        <is>
          <t>991000799099702656</t>
        </is>
      </c>
      <c r="AY1268" t="inlineStr">
        <is>
          <t>2263814450002656</t>
        </is>
      </c>
      <c r="AZ1268" t="inlineStr">
        <is>
          <t>BOOK</t>
        </is>
      </c>
      <c r="BB1268" t="inlineStr">
        <is>
          <t>9780891165545</t>
        </is>
      </c>
      <c r="BC1268" t="inlineStr">
        <is>
          <t>32285000208586</t>
        </is>
      </c>
      <c r="BD1268" t="inlineStr">
        <is>
          <t>893407524</t>
        </is>
      </c>
    </row>
    <row r="1269">
      <c r="A1269" t="inlineStr">
        <is>
          <t>No</t>
        </is>
      </c>
      <c r="B1269" t="inlineStr">
        <is>
          <t>BF789.D4 N42 1984</t>
        </is>
      </c>
      <c r="C1269" t="inlineStr">
        <is>
          <t>0                      BF 0789000D  4                  N  42          1984</t>
        </is>
      </c>
      <c r="D1269" t="inlineStr">
        <is>
          <t>The Near-death experience : problems, prospects, perspectives / edited by Bruce Greyson and Charles P. Flynn ; with a foreword by Michael B. Sabom.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L1269" t="inlineStr">
        <is>
          <t>Springfield, Ill., U.S.A. : C.C. Thomas, c1984.</t>
        </is>
      </c>
      <c r="M1269" t="inlineStr">
        <is>
          <t>1984</t>
        </is>
      </c>
      <c r="O1269" t="inlineStr">
        <is>
          <t>eng</t>
        </is>
      </c>
      <c r="P1269" t="inlineStr">
        <is>
          <t>ilu</t>
        </is>
      </c>
      <c r="R1269" t="inlineStr">
        <is>
          <t xml:space="preserve">BF </t>
        </is>
      </c>
      <c r="S1269" t="n">
        <v>12</v>
      </c>
      <c r="T1269" t="n">
        <v>12</v>
      </c>
      <c r="U1269" t="inlineStr">
        <is>
          <t>2003-04-10</t>
        </is>
      </c>
      <c r="V1269" t="inlineStr">
        <is>
          <t>2003-04-10</t>
        </is>
      </c>
      <c r="W1269" t="inlineStr">
        <is>
          <t>1992-02-25</t>
        </is>
      </c>
      <c r="X1269" t="inlineStr">
        <is>
          <t>1992-02-25</t>
        </is>
      </c>
      <c r="Y1269" t="n">
        <v>260</v>
      </c>
      <c r="Z1269" t="n">
        <v>206</v>
      </c>
      <c r="AA1269" t="n">
        <v>207</v>
      </c>
      <c r="AB1269" t="n">
        <v>5</v>
      </c>
      <c r="AC1269" t="n">
        <v>5</v>
      </c>
      <c r="AD1269" t="n">
        <v>11</v>
      </c>
      <c r="AE1269" t="n">
        <v>11</v>
      </c>
      <c r="AF1269" t="n">
        <v>1</v>
      </c>
      <c r="AG1269" t="n">
        <v>1</v>
      </c>
      <c r="AH1269" t="n">
        <v>4</v>
      </c>
      <c r="AI1269" t="n">
        <v>4</v>
      </c>
      <c r="AJ1269" t="n">
        <v>6</v>
      </c>
      <c r="AK1269" t="n">
        <v>6</v>
      </c>
      <c r="AL1269" t="n">
        <v>3</v>
      </c>
      <c r="AM1269" t="n">
        <v>3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Yes</t>
        </is>
      </c>
      <c r="AR1269">
        <f>HYPERLINK("http://catalog.hathitrust.org/Record/000609415","HathiTrust Record")</f>
        <v/>
      </c>
      <c r="AS1269">
        <f>HYPERLINK("https://creighton-primo.hosted.exlibrisgroup.com/primo-explore/search?tab=default_tab&amp;search_scope=EVERYTHING&amp;vid=01CRU&amp;lang=en_US&amp;offset=0&amp;query=any,contains,991000375409702656","Catalog Record")</f>
        <v/>
      </c>
      <c r="AT1269">
        <f>HYPERLINK("http://www.worldcat.org/oclc/10458252","WorldCat Record")</f>
        <v/>
      </c>
      <c r="AU1269" t="inlineStr">
        <is>
          <t>351870082:eng</t>
        </is>
      </c>
      <c r="AV1269" t="inlineStr">
        <is>
          <t>10458252</t>
        </is>
      </c>
      <c r="AW1269" t="inlineStr">
        <is>
          <t>991000375409702656</t>
        </is>
      </c>
      <c r="AX1269" t="inlineStr">
        <is>
          <t>991000375409702656</t>
        </is>
      </c>
      <c r="AY1269" t="inlineStr">
        <is>
          <t>2265933810002656</t>
        </is>
      </c>
      <c r="AZ1269" t="inlineStr">
        <is>
          <t>BOOK</t>
        </is>
      </c>
      <c r="BB1269" t="inlineStr">
        <is>
          <t>9780398050085</t>
        </is>
      </c>
      <c r="BC1269" t="inlineStr">
        <is>
          <t>32285000982388</t>
        </is>
      </c>
      <c r="BD1269" t="inlineStr">
        <is>
          <t>893333407</t>
        </is>
      </c>
    </row>
    <row r="1270">
      <c r="A1270" t="inlineStr">
        <is>
          <t>No</t>
        </is>
      </c>
      <c r="B1270" t="inlineStr">
        <is>
          <t>BF789.D4 P47 1984</t>
        </is>
      </c>
      <c r="C1270" t="inlineStr">
        <is>
          <t>0                      BF 0789000D  4                  P  47          1984</t>
        </is>
      </c>
      <c r="D1270" t="inlineStr">
        <is>
          <t>Personal meanings of death : applications of personal construct theory to clinical practice / edited by Franz R. Epting and Robert A. Neimeyer.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L1270" t="inlineStr">
        <is>
          <t>Washington [D.C.] : Hemisphere Pub. Corp., c1984.</t>
        </is>
      </c>
      <c r="M1270" t="inlineStr">
        <is>
          <t>1984</t>
        </is>
      </c>
      <c r="O1270" t="inlineStr">
        <is>
          <t>eng</t>
        </is>
      </c>
      <c r="P1270" t="inlineStr">
        <is>
          <t>dcu</t>
        </is>
      </c>
      <c r="Q1270" t="inlineStr">
        <is>
          <t>Series in death education, aging, and health care</t>
        </is>
      </c>
      <c r="R1270" t="inlineStr">
        <is>
          <t xml:space="preserve">BF </t>
        </is>
      </c>
      <c r="S1270" t="n">
        <v>4</v>
      </c>
      <c r="T1270" t="n">
        <v>4</v>
      </c>
      <c r="U1270" t="inlineStr">
        <is>
          <t>2002-03-26</t>
        </is>
      </c>
      <c r="V1270" t="inlineStr">
        <is>
          <t>2002-03-26</t>
        </is>
      </c>
      <c r="W1270" t="inlineStr">
        <is>
          <t>1993-04-12</t>
        </is>
      </c>
      <c r="X1270" t="inlineStr">
        <is>
          <t>1993-04-12</t>
        </is>
      </c>
      <c r="Y1270" t="n">
        <v>256</v>
      </c>
      <c r="Z1270" t="n">
        <v>204</v>
      </c>
      <c r="AA1270" t="n">
        <v>216</v>
      </c>
      <c r="AB1270" t="n">
        <v>2</v>
      </c>
      <c r="AC1270" t="n">
        <v>2</v>
      </c>
      <c r="AD1270" t="n">
        <v>8</v>
      </c>
      <c r="AE1270" t="n">
        <v>9</v>
      </c>
      <c r="AF1270" t="n">
        <v>2</v>
      </c>
      <c r="AG1270" t="n">
        <v>2</v>
      </c>
      <c r="AH1270" t="n">
        <v>2</v>
      </c>
      <c r="AI1270" t="n">
        <v>3</v>
      </c>
      <c r="AJ1270" t="n">
        <v>3</v>
      </c>
      <c r="AK1270" t="n">
        <v>3</v>
      </c>
      <c r="AL1270" t="n">
        <v>1</v>
      </c>
      <c r="AM1270" t="n">
        <v>1</v>
      </c>
      <c r="AN1270" t="n">
        <v>0</v>
      </c>
      <c r="AO1270" t="n">
        <v>0</v>
      </c>
      <c r="AP1270" t="inlineStr">
        <is>
          <t>No</t>
        </is>
      </c>
      <c r="AQ1270" t="inlineStr">
        <is>
          <t>Yes</t>
        </is>
      </c>
      <c r="AR1270">
        <f>HYPERLINK("http://catalog.hathitrust.org/Record/000124426","HathiTrust Record")</f>
        <v/>
      </c>
      <c r="AS1270">
        <f>HYPERLINK("https://creighton-primo.hosted.exlibrisgroup.com/primo-explore/search?tab=default_tab&amp;search_scope=EVERYTHING&amp;vid=01CRU&amp;lang=en_US&amp;offset=0&amp;query=any,contains,991000216249702656","Catalog Record")</f>
        <v/>
      </c>
      <c r="AT1270">
        <f>HYPERLINK("http://www.worldcat.org/oclc/9557799","WorldCat Record")</f>
        <v/>
      </c>
      <c r="AU1270" t="inlineStr">
        <is>
          <t>54570443:eng</t>
        </is>
      </c>
      <c r="AV1270" t="inlineStr">
        <is>
          <t>9557799</t>
        </is>
      </c>
      <c r="AW1270" t="inlineStr">
        <is>
          <t>991000216249702656</t>
        </is>
      </c>
      <c r="AX1270" t="inlineStr">
        <is>
          <t>991000216249702656</t>
        </is>
      </c>
      <c r="AY1270" t="inlineStr">
        <is>
          <t>2266818420002656</t>
        </is>
      </c>
      <c r="AZ1270" t="inlineStr">
        <is>
          <t>BOOK</t>
        </is>
      </c>
      <c r="BB1270" t="inlineStr">
        <is>
          <t>9780891163633</t>
        </is>
      </c>
      <c r="BC1270" t="inlineStr">
        <is>
          <t>32285001616308</t>
        </is>
      </c>
      <c r="BD1270" t="inlineStr">
        <is>
          <t>893683251</t>
        </is>
      </c>
    </row>
    <row r="1271">
      <c r="A1271" t="inlineStr">
        <is>
          <t>No</t>
        </is>
      </c>
      <c r="B1271" t="inlineStr">
        <is>
          <t>BF789.D4 P477 1989</t>
        </is>
      </c>
      <c r="C1271" t="inlineStr">
        <is>
          <t>0                      BF 0789000D  4                  P  477         1989</t>
        </is>
      </c>
      <c r="D1271" t="inlineStr">
        <is>
          <t>Perspectives on death and dying : cross-cultural and multi-disciplinary views / edited by Arthur Berger ... [et al.].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L1271" t="inlineStr">
        <is>
          <t>Philadelphia : Charles Press, c1989.</t>
        </is>
      </c>
      <c r="M1271" t="inlineStr">
        <is>
          <t>1989</t>
        </is>
      </c>
      <c r="O1271" t="inlineStr">
        <is>
          <t>eng</t>
        </is>
      </c>
      <c r="P1271" t="inlineStr">
        <is>
          <t>pau</t>
        </is>
      </c>
      <c r="R1271" t="inlineStr">
        <is>
          <t xml:space="preserve">BF </t>
        </is>
      </c>
      <c r="S1271" t="n">
        <v>11</v>
      </c>
      <c r="T1271" t="n">
        <v>11</v>
      </c>
      <c r="U1271" t="inlineStr">
        <is>
          <t>2004-07-14</t>
        </is>
      </c>
      <c r="V1271" t="inlineStr">
        <is>
          <t>2004-07-14</t>
        </is>
      </c>
      <c r="W1271" t="inlineStr">
        <is>
          <t>1989-10-23</t>
        </is>
      </c>
      <c r="X1271" t="inlineStr">
        <is>
          <t>1989-10-23</t>
        </is>
      </c>
      <c r="Y1271" t="n">
        <v>500</v>
      </c>
      <c r="Z1271" t="n">
        <v>441</v>
      </c>
      <c r="AA1271" t="n">
        <v>447</v>
      </c>
      <c r="AB1271" t="n">
        <v>4</v>
      </c>
      <c r="AC1271" t="n">
        <v>4</v>
      </c>
      <c r="AD1271" t="n">
        <v>20</v>
      </c>
      <c r="AE1271" t="n">
        <v>20</v>
      </c>
      <c r="AF1271" t="n">
        <v>8</v>
      </c>
      <c r="AG1271" t="n">
        <v>8</v>
      </c>
      <c r="AH1271" t="n">
        <v>4</v>
      </c>
      <c r="AI1271" t="n">
        <v>4</v>
      </c>
      <c r="AJ1271" t="n">
        <v>8</v>
      </c>
      <c r="AK1271" t="n">
        <v>8</v>
      </c>
      <c r="AL1271" t="n">
        <v>3</v>
      </c>
      <c r="AM1271" t="n">
        <v>3</v>
      </c>
      <c r="AN1271" t="n">
        <v>1</v>
      </c>
      <c r="AO1271" t="n">
        <v>1</v>
      </c>
      <c r="AP1271" t="inlineStr">
        <is>
          <t>No</t>
        </is>
      </c>
      <c r="AQ1271" t="inlineStr">
        <is>
          <t>Yes</t>
        </is>
      </c>
      <c r="AR1271">
        <f>HYPERLINK("http://catalog.hathitrust.org/Record/001290809","HathiTrust Record")</f>
        <v/>
      </c>
      <c r="AS1271">
        <f>HYPERLINK("https://creighton-primo.hosted.exlibrisgroup.com/primo-explore/search?tab=default_tab&amp;search_scope=EVERYTHING&amp;vid=01CRU&amp;lang=en_US&amp;offset=0&amp;query=any,contains,991001488729702656","Catalog Record")</f>
        <v/>
      </c>
      <c r="AT1271">
        <f>HYPERLINK("http://www.worldcat.org/oclc/19676104","WorldCat Record")</f>
        <v/>
      </c>
      <c r="AU1271" t="inlineStr">
        <is>
          <t>1082455:eng</t>
        </is>
      </c>
      <c r="AV1271" t="inlineStr">
        <is>
          <t>19676104</t>
        </is>
      </c>
      <c r="AW1271" t="inlineStr">
        <is>
          <t>991001488729702656</t>
        </is>
      </c>
      <c r="AX1271" t="inlineStr">
        <is>
          <t>991001488729702656</t>
        </is>
      </c>
      <c r="AY1271" t="inlineStr">
        <is>
          <t>2266924010002656</t>
        </is>
      </c>
      <c r="AZ1271" t="inlineStr">
        <is>
          <t>BOOK</t>
        </is>
      </c>
      <c r="BB1271" t="inlineStr">
        <is>
          <t>9780914783275</t>
        </is>
      </c>
      <c r="BC1271" t="inlineStr">
        <is>
          <t>32285000003698</t>
        </is>
      </c>
      <c r="BD1271" t="inlineStr">
        <is>
          <t>893897818</t>
        </is>
      </c>
    </row>
    <row r="1272">
      <c r="A1272" t="inlineStr">
        <is>
          <t>No</t>
        </is>
      </c>
      <c r="B1272" t="inlineStr">
        <is>
          <t>BF789.D4 R5</t>
        </is>
      </c>
      <c r="C1272" t="inlineStr">
        <is>
          <t>0                      BF 0789000D  4                  R  5</t>
        </is>
      </c>
      <c r="D1272" t="inlineStr">
        <is>
          <t>The mother, anxiety, and death : the catastrophic death complex / [by] Joseph C. Rheingold.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Rheingold, Joseph C.</t>
        </is>
      </c>
      <c r="L1272" t="inlineStr">
        <is>
          <t>Boston : Little, Brown, [1967]</t>
        </is>
      </c>
      <c r="M1272" t="inlineStr">
        <is>
          <t>1967</t>
        </is>
      </c>
      <c r="N1272" t="inlineStr">
        <is>
          <t>[1st ed.]</t>
        </is>
      </c>
      <c r="O1272" t="inlineStr">
        <is>
          <t>eng</t>
        </is>
      </c>
      <c r="P1272" t="inlineStr">
        <is>
          <t>mau</t>
        </is>
      </c>
      <c r="R1272" t="inlineStr">
        <is>
          <t xml:space="preserve">BF </t>
        </is>
      </c>
      <c r="S1272" t="n">
        <v>1</v>
      </c>
      <c r="T1272" t="n">
        <v>1</v>
      </c>
      <c r="U1272" t="inlineStr">
        <is>
          <t>2003-04-14</t>
        </is>
      </c>
      <c r="V1272" t="inlineStr">
        <is>
          <t>2003-04-14</t>
        </is>
      </c>
      <c r="W1272" t="inlineStr">
        <is>
          <t>1990-02-26</t>
        </is>
      </c>
      <c r="X1272" t="inlineStr">
        <is>
          <t>1990-02-26</t>
        </is>
      </c>
      <c r="Y1272" t="n">
        <v>374</v>
      </c>
      <c r="Z1272" t="n">
        <v>334</v>
      </c>
      <c r="AA1272" t="n">
        <v>347</v>
      </c>
      <c r="AB1272" t="n">
        <v>1</v>
      </c>
      <c r="AC1272" t="n">
        <v>1</v>
      </c>
      <c r="AD1272" t="n">
        <v>15</v>
      </c>
      <c r="AE1272" t="n">
        <v>15</v>
      </c>
      <c r="AF1272" t="n">
        <v>5</v>
      </c>
      <c r="AG1272" t="n">
        <v>5</v>
      </c>
      <c r="AH1272" t="n">
        <v>3</v>
      </c>
      <c r="AI1272" t="n">
        <v>3</v>
      </c>
      <c r="AJ1272" t="n">
        <v>8</v>
      </c>
      <c r="AK1272" t="n">
        <v>8</v>
      </c>
      <c r="AL1272" t="n">
        <v>0</v>
      </c>
      <c r="AM1272" t="n">
        <v>0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Yes</t>
        </is>
      </c>
      <c r="AR1272">
        <f>HYPERLINK("http://catalog.hathitrust.org/Record/000431348","HathiTrust Record")</f>
        <v/>
      </c>
      <c r="AS1272">
        <f>HYPERLINK("https://creighton-primo.hosted.exlibrisgroup.com/primo-explore/search?tab=default_tab&amp;search_scope=EVERYTHING&amp;vid=01CRU&amp;lang=en_US&amp;offset=0&amp;query=any,contains,991002681859702656","Catalog Record")</f>
        <v/>
      </c>
      <c r="AT1272">
        <f>HYPERLINK("http://www.worldcat.org/oclc/398654","WorldCat Record")</f>
        <v/>
      </c>
      <c r="AU1272" t="inlineStr">
        <is>
          <t>1547697:eng</t>
        </is>
      </c>
      <c r="AV1272" t="inlineStr">
        <is>
          <t>398654</t>
        </is>
      </c>
      <c r="AW1272" t="inlineStr">
        <is>
          <t>991002681859702656</t>
        </is>
      </c>
      <c r="AX1272" t="inlineStr">
        <is>
          <t>991002681859702656</t>
        </is>
      </c>
      <c r="AY1272" t="inlineStr">
        <is>
          <t>2259542450002656</t>
        </is>
      </c>
      <c r="AZ1272" t="inlineStr">
        <is>
          <t>BOOK</t>
        </is>
      </c>
      <c r="BC1272" t="inlineStr">
        <is>
          <t>32285000062447</t>
        </is>
      </c>
      <c r="BD1272" t="inlineStr">
        <is>
          <t>893504688</t>
        </is>
      </c>
    </row>
    <row r="1273">
      <c r="A1273" t="inlineStr">
        <is>
          <t>No</t>
        </is>
      </c>
      <c r="B1273" t="inlineStr">
        <is>
          <t>BF789.D4 R55 1985</t>
        </is>
      </c>
      <c r="C1273" t="inlineStr">
        <is>
          <t>0                      BF 0789000D  4                  R  55          1985</t>
        </is>
      </c>
      <c r="D1273" t="inlineStr">
        <is>
          <t>Heading toward omega : in search of the meaning of the near-death experience / Kenneth Ring.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No</t>
        </is>
      </c>
      <c r="J1273" t="inlineStr">
        <is>
          <t>0</t>
        </is>
      </c>
      <c r="K1273" t="inlineStr">
        <is>
          <t>Ring, Kenneth.</t>
        </is>
      </c>
      <c r="L1273" t="inlineStr">
        <is>
          <t>New York : W. Morrow, 1985, c1984.</t>
        </is>
      </c>
      <c r="M1273" t="inlineStr">
        <is>
          <t>1985</t>
        </is>
      </c>
      <c r="N1273" t="inlineStr">
        <is>
          <t>1st Quill ed.</t>
        </is>
      </c>
      <c r="O1273" t="inlineStr">
        <is>
          <t>eng</t>
        </is>
      </c>
      <c r="P1273" t="inlineStr">
        <is>
          <t>nyu</t>
        </is>
      </c>
      <c r="R1273" t="inlineStr">
        <is>
          <t xml:space="preserve">BF </t>
        </is>
      </c>
      <c r="S1273" t="n">
        <v>13</v>
      </c>
      <c r="T1273" t="n">
        <v>13</v>
      </c>
      <c r="U1273" t="inlineStr">
        <is>
          <t>2001-04-05</t>
        </is>
      </c>
      <c r="V1273" t="inlineStr">
        <is>
          <t>2001-04-05</t>
        </is>
      </c>
      <c r="W1273" t="inlineStr">
        <is>
          <t>1990-02-26</t>
        </is>
      </c>
      <c r="X1273" t="inlineStr">
        <is>
          <t>1990-02-26</t>
        </is>
      </c>
      <c r="Y1273" t="n">
        <v>129</v>
      </c>
      <c r="Z1273" t="n">
        <v>125</v>
      </c>
      <c r="AA1273" t="n">
        <v>799</v>
      </c>
      <c r="AB1273" t="n">
        <v>1</v>
      </c>
      <c r="AC1273" t="n">
        <v>5</v>
      </c>
      <c r="AD1273" t="n">
        <v>4</v>
      </c>
      <c r="AE1273" t="n">
        <v>25</v>
      </c>
      <c r="AF1273" t="n">
        <v>2</v>
      </c>
      <c r="AG1273" t="n">
        <v>9</v>
      </c>
      <c r="AH1273" t="n">
        <v>1</v>
      </c>
      <c r="AI1273" t="n">
        <v>5</v>
      </c>
      <c r="AJ1273" t="n">
        <v>2</v>
      </c>
      <c r="AK1273" t="n">
        <v>14</v>
      </c>
      <c r="AL1273" t="n">
        <v>0</v>
      </c>
      <c r="AM1273" t="n">
        <v>3</v>
      </c>
      <c r="AN1273" t="n">
        <v>0</v>
      </c>
      <c r="AO1273" t="n">
        <v>0</v>
      </c>
      <c r="AP1273" t="inlineStr">
        <is>
          <t>No</t>
        </is>
      </c>
      <c r="AQ1273" t="inlineStr">
        <is>
          <t>No</t>
        </is>
      </c>
      <c r="AS1273">
        <f>HYPERLINK("https://creighton-primo.hosted.exlibrisgroup.com/primo-explore/search?tab=default_tab&amp;search_scope=EVERYTHING&amp;vid=01CRU&amp;lang=en_US&amp;offset=0&amp;query=any,contains,991000751099702656","Catalog Record")</f>
        <v/>
      </c>
      <c r="AT1273">
        <f>HYPERLINK("http://www.worldcat.org/oclc/12929384","WorldCat Record")</f>
        <v/>
      </c>
      <c r="AU1273" t="inlineStr">
        <is>
          <t>2860157:eng</t>
        </is>
      </c>
      <c r="AV1273" t="inlineStr">
        <is>
          <t>12929384</t>
        </is>
      </c>
      <c r="AW1273" t="inlineStr">
        <is>
          <t>991000751099702656</t>
        </is>
      </c>
      <c r="AX1273" t="inlineStr">
        <is>
          <t>991000751099702656</t>
        </is>
      </c>
      <c r="AY1273" t="inlineStr">
        <is>
          <t>2260721150002656</t>
        </is>
      </c>
      <c r="AZ1273" t="inlineStr">
        <is>
          <t>BOOK</t>
        </is>
      </c>
      <c r="BB1273" t="inlineStr">
        <is>
          <t>9780688062682</t>
        </is>
      </c>
      <c r="BC1273" t="inlineStr">
        <is>
          <t>32285000070028</t>
        </is>
      </c>
      <c r="BD1273" t="inlineStr">
        <is>
          <t>893444451</t>
        </is>
      </c>
    </row>
    <row r="1274">
      <c r="A1274" t="inlineStr">
        <is>
          <t>No</t>
        </is>
      </c>
      <c r="B1274" t="inlineStr">
        <is>
          <t>BF789.D4 R56</t>
        </is>
      </c>
      <c r="C1274" t="inlineStr">
        <is>
          <t>0                      BF 0789000D  4                  R  56</t>
        </is>
      </c>
      <c r="D1274" t="inlineStr">
        <is>
          <t>Life at death : a scientific investigation of the near-death experience / Kenneth Ring.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Ring, Kenneth.</t>
        </is>
      </c>
      <c r="L1274" t="inlineStr">
        <is>
          <t>New York : Coward, McCann &amp; Geoghegan, c1980.</t>
        </is>
      </c>
      <c r="M1274" t="inlineStr">
        <is>
          <t>1980</t>
        </is>
      </c>
      <c r="O1274" t="inlineStr">
        <is>
          <t>eng</t>
        </is>
      </c>
      <c r="P1274" t="inlineStr">
        <is>
          <t>nyu</t>
        </is>
      </c>
      <c r="R1274" t="inlineStr">
        <is>
          <t xml:space="preserve">BF </t>
        </is>
      </c>
      <c r="S1274" t="n">
        <v>8</v>
      </c>
      <c r="T1274" t="n">
        <v>8</v>
      </c>
      <c r="U1274" t="inlineStr">
        <is>
          <t>1994-12-06</t>
        </is>
      </c>
      <c r="V1274" t="inlineStr">
        <is>
          <t>1994-12-06</t>
        </is>
      </c>
      <c r="W1274" t="inlineStr">
        <is>
          <t>1990-02-26</t>
        </is>
      </c>
      <c r="X1274" t="inlineStr">
        <is>
          <t>1990-02-26</t>
        </is>
      </c>
      <c r="Y1274" t="n">
        <v>1119</v>
      </c>
      <c r="Z1274" t="n">
        <v>1037</v>
      </c>
      <c r="AA1274" t="n">
        <v>1193</v>
      </c>
      <c r="AB1274" t="n">
        <v>5</v>
      </c>
      <c r="AC1274" t="n">
        <v>7</v>
      </c>
      <c r="AD1274" t="n">
        <v>28</v>
      </c>
      <c r="AE1274" t="n">
        <v>35</v>
      </c>
      <c r="AF1274" t="n">
        <v>13</v>
      </c>
      <c r="AG1274" t="n">
        <v>16</v>
      </c>
      <c r="AH1274" t="n">
        <v>6</v>
      </c>
      <c r="AI1274" t="n">
        <v>7</v>
      </c>
      <c r="AJ1274" t="n">
        <v>14</v>
      </c>
      <c r="AK1274" t="n">
        <v>15</v>
      </c>
      <c r="AL1274" t="n">
        <v>2</v>
      </c>
      <c r="AM1274" t="n">
        <v>4</v>
      </c>
      <c r="AN1274" t="n">
        <v>0</v>
      </c>
      <c r="AO1274" t="n">
        <v>0</v>
      </c>
      <c r="AP1274" t="inlineStr">
        <is>
          <t>No</t>
        </is>
      </c>
      <c r="AQ1274" t="inlineStr">
        <is>
          <t>No</t>
        </is>
      </c>
      <c r="AS1274">
        <f>HYPERLINK("https://creighton-primo.hosted.exlibrisgroup.com/primo-explore/search?tab=default_tab&amp;search_scope=EVERYTHING&amp;vid=01CRU&amp;lang=en_US&amp;offset=0&amp;query=any,contains,991004896379702656","Catalog Record")</f>
        <v/>
      </c>
      <c r="AT1274">
        <f>HYPERLINK("http://www.worldcat.org/oclc/5894206","WorldCat Record")</f>
        <v/>
      </c>
      <c r="AU1274" t="inlineStr">
        <is>
          <t>435250:eng</t>
        </is>
      </c>
      <c r="AV1274" t="inlineStr">
        <is>
          <t>5894206</t>
        </is>
      </c>
      <c r="AW1274" t="inlineStr">
        <is>
          <t>991004896379702656</t>
        </is>
      </c>
      <c r="AX1274" t="inlineStr">
        <is>
          <t>991004896379702656</t>
        </is>
      </c>
      <c r="AY1274" t="inlineStr">
        <is>
          <t>2264322070002656</t>
        </is>
      </c>
      <c r="AZ1274" t="inlineStr">
        <is>
          <t>BOOK</t>
        </is>
      </c>
      <c r="BB1274" t="inlineStr">
        <is>
          <t>9780698110328</t>
        </is>
      </c>
      <c r="BC1274" t="inlineStr">
        <is>
          <t>32285000070036</t>
        </is>
      </c>
      <c r="BD1274" t="inlineStr">
        <is>
          <t>893536261</t>
        </is>
      </c>
    </row>
    <row r="1275">
      <c r="A1275" t="inlineStr">
        <is>
          <t>No</t>
        </is>
      </c>
      <c r="B1275" t="inlineStr">
        <is>
          <t>BF789.D4 S36</t>
        </is>
      </c>
      <c r="C1275" t="inlineStr">
        <is>
          <t>0                      BF 0789000D  4                  S  36</t>
        </is>
      </c>
      <c r="D1275" t="inlineStr">
        <is>
          <t>The psychology of death, dying, and bereavement / Richard Schulz.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Schulz, Richard, 1947-</t>
        </is>
      </c>
      <c r="L1275" t="inlineStr">
        <is>
          <t>Reading, Mass. : Addison-Wesley Pub. Co., c1978.</t>
        </is>
      </c>
      <c r="M1275" t="inlineStr">
        <is>
          <t>1978</t>
        </is>
      </c>
      <c r="O1275" t="inlineStr">
        <is>
          <t>eng</t>
        </is>
      </c>
      <c r="P1275" t="inlineStr">
        <is>
          <t>mau</t>
        </is>
      </c>
      <c r="R1275" t="inlineStr">
        <is>
          <t xml:space="preserve">BF </t>
        </is>
      </c>
      <c r="S1275" t="n">
        <v>15</v>
      </c>
      <c r="T1275" t="n">
        <v>15</v>
      </c>
      <c r="U1275" t="inlineStr">
        <is>
          <t>2001-07-01</t>
        </is>
      </c>
      <c r="V1275" t="inlineStr">
        <is>
          <t>2001-07-01</t>
        </is>
      </c>
      <c r="W1275" t="inlineStr">
        <is>
          <t>1990-03-05</t>
        </is>
      </c>
      <c r="X1275" t="inlineStr">
        <is>
          <t>1990-03-05</t>
        </is>
      </c>
      <c r="Y1275" t="n">
        <v>786</v>
      </c>
      <c r="Z1275" t="n">
        <v>661</v>
      </c>
      <c r="AA1275" t="n">
        <v>662</v>
      </c>
      <c r="AB1275" t="n">
        <v>6</v>
      </c>
      <c r="AC1275" t="n">
        <v>6</v>
      </c>
      <c r="AD1275" t="n">
        <v>27</v>
      </c>
      <c r="AE1275" t="n">
        <v>27</v>
      </c>
      <c r="AF1275" t="n">
        <v>12</v>
      </c>
      <c r="AG1275" t="n">
        <v>12</v>
      </c>
      <c r="AH1275" t="n">
        <v>5</v>
      </c>
      <c r="AI1275" t="n">
        <v>5</v>
      </c>
      <c r="AJ1275" t="n">
        <v>11</v>
      </c>
      <c r="AK1275" t="n">
        <v>11</v>
      </c>
      <c r="AL1275" t="n">
        <v>4</v>
      </c>
      <c r="AM1275" t="n">
        <v>4</v>
      </c>
      <c r="AN1275" t="n">
        <v>0</v>
      </c>
      <c r="AO1275" t="n">
        <v>0</v>
      </c>
      <c r="AP1275" t="inlineStr">
        <is>
          <t>No</t>
        </is>
      </c>
      <c r="AQ1275" t="inlineStr">
        <is>
          <t>Yes</t>
        </is>
      </c>
      <c r="AR1275">
        <f>HYPERLINK("http://catalog.hathitrust.org/Record/000134312","HathiTrust Record")</f>
        <v/>
      </c>
      <c r="AS1275">
        <f>HYPERLINK("https://creighton-primo.hosted.exlibrisgroup.com/primo-explore/search?tab=default_tab&amp;search_scope=EVERYTHING&amp;vid=01CRU&amp;lang=en_US&amp;offset=0&amp;query=any,contains,991005253809702656","Catalog Record")</f>
        <v/>
      </c>
      <c r="AT1275">
        <f>HYPERLINK("http://www.worldcat.org/oclc/3806909","WorldCat Record")</f>
        <v/>
      </c>
      <c r="AU1275" t="inlineStr">
        <is>
          <t>461193:eng</t>
        </is>
      </c>
      <c r="AV1275" t="inlineStr">
        <is>
          <t>3806909</t>
        </is>
      </c>
      <c r="AW1275" t="inlineStr">
        <is>
          <t>991005253809702656</t>
        </is>
      </c>
      <c r="AX1275" t="inlineStr">
        <is>
          <t>991005253809702656</t>
        </is>
      </c>
      <c r="AY1275" t="inlineStr">
        <is>
          <t>2261608520002656</t>
        </is>
      </c>
      <c r="AZ1275" t="inlineStr">
        <is>
          <t>BOOK</t>
        </is>
      </c>
      <c r="BB1275" t="inlineStr">
        <is>
          <t>9780201073287</t>
        </is>
      </c>
      <c r="BC1275" t="inlineStr">
        <is>
          <t>32285000076801</t>
        </is>
      </c>
      <c r="BD1275" t="inlineStr">
        <is>
          <t>893594726</t>
        </is>
      </c>
    </row>
    <row r="1276">
      <c r="A1276" t="inlineStr">
        <is>
          <t>No</t>
        </is>
      </c>
      <c r="B1276" t="inlineStr">
        <is>
          <t>BF789.D4 S65 1985</t>
        </is>
      </c>
      <c r="C1276" t="inlineStr">
        <is>
          <t>0                      BF 0789000D  4                  S  65          1985</t>
        </is>
      </c>
      <c r="D1276" t="inlineStr">
        <is>
          <t>Dying in the human life cycle : psychological, biomedical, and social perspectives / Walter J. Smith.</t>
        </is>
      </c>
      <c r="F1276" t="inlineStr">
        <is>
          <t>No</t>
        </is>
      </c>
      <c r="G1276" t="inlineStr">
        <is>
          <t>1</t>
        </is>
      </c>
      <c r="H1276" t="inlineStr">
        <is>
          <t>Yes</t>
        </is>
      </c>
      <c r="I1276" t="inlineStr">
        <is>
          <t>No</t>
        </is>
      </c>
      <c r="J1276" t="inlineStr">
        <is>
          <t>0</t>
        </is>
      </c>
      <c r="K1276" t="inlineStr">
        <is>
          <t>Smith, Walter J.</t>
        </is>
      </c>
      <c r="L1276" t="inlineStr">
        <is>
          <t>New York : Holt, Rinehart and Winston, 1985.</t>
        </is>
      </c>
      <c r="M1276" t="inlineStr">
        <is>
          <t>1985</t>
        </is>
      </c>
      <c r="O1276" t="inlineStr">
        <is>
          <t>eng</t>
        </is>
      </c>
      <c r="P1276" t="inlineStr">
        <is>
          <t>nyu</t>
        </is>
      </c>
      <c r="R1276" t="inlineStr">
        <is>
          <t xml:space="preserve">BF </t>
        </is>
      </c>
      <c r="S1276" t="n">
        <v>12</v>
      </c>
      <c r="T1276" t="n">
        <v>12</v>
      </c>
      <c r="U1276" t="inlineStr">
        <is>
          <t>2008-11-11</t>
        </is>
      </c>
      <c r="V1276" t="inlineStr">
        <is>
          <t>2008-11-11</t>
        </is>
      </c>
      <c r="W1276" t="inlineStr">
        <is>
          <t>1990-03-05</t>
        </is>
      </c>
      <c r="X1276" t="inlineStr">
        <is>
          <t>1995-04-20</t>
        </is>
      </c>
      <c r="Y1276" t="n">
        <v>348</v>
      </c>
      <c r="Z1276" t="n">
        <v>288</v>
      </c>
      <c r="AA1276" t="n">
        <v>290</v>
      </c>
      <c r="AB1276" t="n">
        <v>5</v>
      </c>
      <c r="AC1276" t="n">
        <v>5</v>
      </c>
      <c r="AD1276" t="n">
        <v>14</v>
      </c>
      <c r="AE1276" t="n">
        <v>14</v>
      </c>
      <c r="AF1276" t="n">
        <v>5</v>
      </c>
      <c r="AG1276" t="n">
        <v>5</v>
      </c>
      <c r="AH1276" t="n">
        <v>3</v>
      </c>
      <c r="AI1276" t="n">
        <v>3</v>
      </c>
      <c r="AJ1276" t="n">
        <v>11</v>
      </c>
      <c r="AK1276" t="n">
        <v>11</v>
      </c>
      <c r="AL1276" t="n">
        <v>2</v>
      </c>
      <c r="AM1276" t="n">
        <v>2</v>
      </c>
      <c r="AN1276" t="n">
        <v>0</v>
      </c>
      <c r="AO1276" t="n">
        <v>0</v>
      </c>
      <c r="AP1276" t="inlineStr">
        <is>
          <t>No</t>
        </is>
      </c>
      <c r="AQ1276" t="inlineStr">
        <is>
          <t>Yes</t>
        </is>
      </c>
      <c r="AR1276">
        <f>HYPERLINK("http://catalog.hathitrust.org/Record/000616176","HathiTrust Record")</f>
        <v/>
      </c>
      <c r="AS1276">
        <f>HYPERLINK("https://creighton-primo.hosted.exlibrisgroup.com/primo-explore/search?tab=default_tab&amp;search_scope=EVERYTHING&amp;vid=01CRU&amp;lang=en_US&amp;offset=0&amp;query=any,contains,991001630079702656","Catalog Record")</f>
        <v/>
      </c>
      <c r="AT1276">
        <f>HYPERLINK("http://www.worldcat.org/oclc/11867244","WorldCat Record")</f>
        <v/>
      </c>
      <c r="AU1276" t="inlineStr">
        <is>
          <t>197667615:eng</t>
        </is>
      </c>
      <c r="AV1276" t="inlineStr">
        <is>
          <t>11867244</t>
        </is>
      </c>
      <c r="AW1276" t="inlineStr">
        <is>
          <t>991001630079702656</t>
        </is>
      </c>
      <c r="AX1276" t="inlineStr">
        <is>
          <t>991001630079702656</t>
        </is>
      </c>
      <c r="AY1276" t="inlineStr">
        <is>
          <t>2262759380002656</t>
        </is>
      </c>
      <c r="AZ1276" t="inlineStr">
        <is>
          <t>BOOK</t>
        </is>
      </c>
      <c r="BB1276" t="inlineStr">
        <is>
          <t>9780030717420</t>
        </is>
      </c>
      <c r="BC1276" t="inlineStr">
        <is>
          <t>32285000076819</t>
        </is>
      </c>
      <c r="BD1276" t="inlineStr">
        <is>
          <t>893516330</t>
        </is>
      </c>
    </row>
    <row r="1277">
      <c r="A1277" t="inlineStr">
        <is>
          <t>No</t>
        </is>
      </c>
      <c r="B1277" t="inlineStr">
        <is>
          <t>BF789.D4 S735 1985</t>
        </is>
      </c>
      <c r="C1277" t="inlineStr">
        <is>
          <t>0                      BF 0789000D  4                  S  735         1985</t>
        </is>
      </c>
      <c r="D1277" t="inlineStr">
        <is>
          <t>Death, grief, and mourning : individual and social realities / John S. Stephenson.</t>
        </is>
      </c>
      <c r="F1277" t="inlineStr">
        <is>
          <t>No</t>
        </is>
      </c>
      <c r="G1277" t="inlineStr">
        <is>
          <t>1</t>
        </is>
      </c>
      <c r="H1277" t="inlineStr">
        <is>
          <t>Yes</t>
        </is>
      </c>
      <c r="I1277" t="inlineStr">
        <is>
          <t>No</t>
        </is>
      </c>
      <c r="J1277" t="inlineStr">
        <is>
          <t>0</t>
        </is>
      </c>
      <c r="K1277" t="inlineStr">
        <is>
          <t>Stephenson, John S. (John Samuel), 1936-</t>
        </is>
      </c>
      <c r="L1277" t="inlineStr">
        <is>
          <t>New York : Free Press ; London : Collier Macmillan, c1985.</t>
        </is>
      </c>
      <c r="M1277" t="inlineStr">
        <is>
          <t>1985</t>
        </is>
      </c>
      <c r="O1277" t="inlineStr">
        <is>
          <t>eng</t>
        </is>
      </c>
      <c r="P1277" t="inlineStr">
        <is>
          <t>nyu</t>
        </is>
      </c>
      <c r="R1277" t="inlineStr">
        <is>
          <t xml:space="preserve">BF </t>
        </is>
      </c>
      <c r="S1277" t="n">
        <v>21</v>
      </c>
      <c r="T1277" t="n">
        <v>21</v>
      </c>
      <c r="U1277" t="inlineStr">
        <is>
          <t>2001-09-19</t>
        </is>
      </c>
      <c r="V1277" t="inlineStr">
        <is>
          <t>2001-09-19</t>
        </is>
      </c>
      <c r="W1277" t="inlineStr">
        <is>
          <t>1991-12-06</t>
        </is>
      </c>
      <c r="X1277" t="inlineStr">
        <is>
          <t>1995-04-20</t>
        </is>
      </c>
      <c r="Y1277" t="n">
        <v>518</v>
      </c>
      <c r="Z1277" t="n">
        <v>467</v>
      </c>
      <c r="AA1277" t="n">
        <v>482</v>
      </c>
      <c r="AB1277" t="n">
        <v>6</v>
      </c>
      <c r="AC1277" t="n">
        <v>6</v>
      </c>
      <c r="AD1277" t="n">
        <v>17</v>
      </c>
      <c r="AE1277" t="n">
        <v>17</v>
      </c>
      <c r="AF1277" t="n">
        <v>5</v>
      </c>
      <c r="AG1277" t="n">
        <v>5</v>
      </c>
      <c r="AH1277" t="n">
        <v>5</v>
      </c>
      <c r="AI1277" t="n">
        <v>5</v>
      </c>
      <c r="AJ1277" t="n">
        <v>6</v>
      </c>
      <c r="AK1277" t="n">
        <v>6</v>
      </c>
      <c r="AL1277" t="n">
        <v>3</v>
      </c>
      <c r="AM1277" t="n">
        <v>3</v>
      </c>
      <c r="AN1277" t="n">
        <v>1</v>
      </c>
      <c r="AO1277" t="n">
        <v>1</v>
      </c>
      <c r="AP1277" t="inlineStr">
        <is>
          <t>No</t>
        </is>
      </c>
      <c r="AQ1277" t="inlineStr">
        <is>
          <t>Yes</t>
        </is>
      </c>
      <c r="AR1277">
        <f>HYPERLINK("http://catalog.hathitrust.org/Record/000380751","HathiTrust Record")</f>
        <v/>
      </c>
      <c r="AS1277">
        <f>HYPERLINK("https://creighton-primo.hosted.exlibrisgroup.com/primo-explore/search?tab=default_tab&amp;search_scope=EVERYTHING&amp;vid=01CRU&amp;lang=en_US&amp;offset=0&amp;query=any,contains,991001629669702656","Catalog Record")</f>
        <v/>
      </c>
      <c r="AT1277">
        <f>HYPERLINK("http://www.worldcat.org/oclc/11677467","WorldCat Record")</f>
        <v/>
      </c>
      <c r="AU1277" t="inlineStr">
        <is>
          <t>143918051:eng</t>
        </is>
      </c>
      <c r="AV1277" t="inlineStr">
        <is>
          <t>11677467</t>
        </is>
      </c>
      <c r="AW1277" t="inlineStr">
        <is>
          <t>991001629669702656</t>
        </is>
      </c>
      <c r="AX1277" t="inlineStr">
        <is>
          <t>991001629669702656</t>
        </is>
      </c>
      <c r="AY1277" t="inlineStr">
        <is>
          <t>2255212660002656</t>
        </is>
      </c>
      <c r="AZ1277" t="inlineStr">
        <is>
          <t>BOOK</t>
        </is>
      </c>
      <c r="BB1277" t="inlineStr">
        <is>
          <t>9780029313305</t>
        </is>
      </c>
      <c r="BC1277" t="inlineStr">
        <is>
          <t>32285000838176</t>
        </is>
      </c>
      <c r="BD1277" t="inlineStr">
        <is>
          <t>893803726</t>
        </is>
      </c>
    </row>
    <row r="1278">
      <c r="A1278" t="inlineStr">
        <is>
          <t>No</t>
        </is>
      </c>
      <c r="B1278" t="inlineStr">
        <is>
          <t>BF789.D4 S75 1985</t>
        </is>
      </c>
      <c r="C1278" t="inlineStr">
        <is>
          <t>0                      BF 0789000D  4                  S  75          1985</t>
        </is>
      </c>
      <c r="D1278" t="inlineStr">
        <is>
          <t>Death and the sexes : an examination of differential longevity, attitudes, behaviors, and coping skills / Judith M. Stillion.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K1278" t="inlineStr">
        <is>
          <t>Stillion, Judith M., 1937-</t>
        </is>
      </c>
      <c r="L1278" t="inlineStr">
        <is>
          <t>Washington : Hemisphere Pub. Corp., c1985.</t>
        </is>
      </c>
      <c r="M1278" t="inlineStr">
        <is>
          <t>1985</t>
        </is>
      </c>
      <c r="O1278" t="inlineStr">
        <is>
          <t>eng</t>
        </is>
      </c>
      <c r="P1278" t="inlineStr">
        <is>
          <t>dcu</t>
        </is>
      </c>
      <c r="Q1278" t="inlineStr">
        <is>
          <t>Series in death education, aging, and health care</t>
        </is>
      </c>
      <c r="R1278" t="inlineStr">
        <is>
          <t xml:space="preserve">BF </t>
        </is>
      </c>
      <c r="S1278" t="n">
        <v>2</v>
      </c>
      <c r="T1278" t="n">
        <v>2</v>
      </c>
      <c r="U1278" t="inlineStr">
        <is>
          <t>2005-03-16</t>
        </is>
      </c>
      <c r="V1278" t="inlineStr">
        <is>
          <t>2005-03-16</t>
        </is>
      </c>
      <c r="W1278" t="inlineStr">
        <is>
          <t>1994-05-11</t>
        </is>
      </c>
      <c r="X1278" t="inlineStr">
        <is>
          <t>1994-05-11</t>
        </is>
      </c>
      <c r="Y1278" t="n">
        <v>578</v>
      </c>
      <c r="Z1278" t="n">
        <v>518</v>
      </c>
      <c r="AA1278" t="n">
        <v>521</v>
      </c>
      <c r="AB1278" t="n">
        <v>4</v>
      </c>
      <c r="AC1278" t="n">
        <v>4</v>
      </c>
      <c r="AD1278" t="n">
        <v>23</v>
      </c>
      <c r="AE1278" t="n">
        <v>23</v>
      </c>
      <c r="AF1278" t="n">
        <v>6</v>
      </c>
      <c r="AG1278" t="n">
        <v>6</v>
      </c>
      <c r="AH1278" t="n">
        <v>7</v>
      </c>
      <c r="AI1278" t="n">
        <v>7</v>
      </c>
      <c r="AJ1278" t="n">
        <v>13</v>
      </c>
      <c r="AK1278" t="n">
        <v>13</v>
      </c>
      <c r="AL1278" t="n">
        <v>3</v>
      </c>
      <c r="AM1278" t="n">
        <v>3</v>
      </c>
      <c r="AN1278" t="n">
        <v>0</v>
      </c>
      <c r="AO1278" t="n">
        <v>0</v>
      </c>
      <c r="AP1278" t="inlineStr">
        <is>
          <t>No</t>
        </is>
      </c>
      <c r="AQ1278" t="inlineStr">
        <is>
          <t>Yes</t>
        </is>
      </c>
      <c r="AR1278">
        <f>HYPERLINK("http://catalog.hathitrust.org/Record/000350807","HathiTrust Record")</f>
        <v/>
      </c>
      <c r="AS1278">
        <f>HYPERLINK("https://creighton-primo.hosted.exlibrisgroup.com/primo-explore/search?tab=default_tab&amp;search_scope=EVERYTHING&amp;vid=01CRU&amp;lang=en_US&amp;offset=0&amp;query=any,contains,991005253799702656","Catalog Record")</f>
        <v/>
      </c>
      <c r="AT1278">
        <f>HYPERLINK("http://www.worldcat.org/oclc/10780473","WorldCat Record")</f>
        <v/>
      </c>
      <c r="AU1278" t="inlineStr">
        <is>
          <t>292252246:eng</t>
        </is>
      </c>
      <c r="AV1278" t="inlineStr">
        <is>
          <t>10780473</t>
        </is>
      </c>
      <c r="AW1278" t="inlineStr">
        <is>
          <t>991005253799702656</t>
        </is>
      </c>
      <c r="AX1278" t="inlineStr">
        <is>
          <t>991005253799702656</t>
        </is>
      </c>
      <c r="AY1278" t="inlineStr">
        <is>
          <t>2255242580002656</t>
        </is>
      </c>
      <c r="AZ1278" t="inlineStr">
        <is>
          <t>BOOK</t>
        </is>
      </c>
      <c r="BB1278" t="inlineStr">
        <is>
          <t>9780891163138</t>
        </is>
      </c>
      <c r="BC1278" t="inlineStr">
        <is>
          <t>32285001910669</t>
        </is>
      </c>
      <c r="BD1278" t="inlineStr">
        <is>
          <t>893795867</t>
        </is>
      </c>
    </row>
    <row r="1279">
      <c r="A1279" t="inlineStr">
        <is>
          <t>No</t>
        </is>
      </c>
      <c r="B1279" t="inlineStr">
        <is>
          <t>BF789.D4 W38 1985</t>
        </is>
      </c>
      <c r="C1279" t="inlineStr">
        <is>
          <t>0                      BF 0789000D  4                  W  38          1985</t>
        </is>
      </c>
      <c r="D1279" t="inlineStr">
        <is>
          <t>About mourning : support and guidance for the bereaved / Savine Gross Weizman and Phyllis Kamm.</t>
        </is>
      </c>
      <c r="F1279" t="inlineStr">
        <is>
          <t>No</t>
        </is>
      </c>
      <c r="G1279" t="inlineStr">
        <is>
          <t>1</t>
        </is>
      </c>
      <c r="H1279" t="inlineStr">
        <is>
          <t>No</t>
        </is>
      </c>
      <c r="I1279" t="inlineStr">
        <is>
          <t>No</t>
        </is>
      </c>
      <c r="J1279" t="inlineStr">
        <is>
          <t>0</t>
        </is>
      </c>
      <c r="K1279" t="inlineStr">
        <is>
          <t>Weizman, Savine Gross.</t>
        </is>
      </c>
      <c r="L1279" t="inlineStr">
        <is>
          <t>New York, N.Y. : Human Sciences Press, c1985.</t>
        </is>
      </c>
      <c r="M1279" t="inlineStr">
        <is>
          <t>1985</t>
        </is>
      </c>
      <c r="O1279" t="inlineStr">
        <is>
          <t>eng</t>
        </is>
      </c>
      <c r="P1279" t="inlineStr">
        <is>
          <t>nyu</t>
        </is>
      </c>
      <c r="R1279" t="inlineStr">
        <is>
          <t xml:space="preserve">BF </t>
        </is>
      </c>
      <c r="S1279" t="n">
        <v>21</v>
      </c>
      <c r="T1279" t="n">
        <v>21</v>
      </c>
      <c r="U1279" t="inlineStr">
        <is>
          <t>2000-07-05</t>
        </is>
      </c>
      <c r="V1279" t="inlineStr">
        <is>
          <t>2000-07-05</t>
        </is>
      </c>
      <c r="W1279" t="inlineStr">
        <is>
          <t>1990-04-26</t>
        </is>
      </c>
      <c r="X1279" t="inlineStr">
        <is>
          <t>1990-04-26</t>
        </is>
      </c>
      <c r="Y1279" t="n">
        <v>552</v>
      </c>
      <c r="Z1279" t="n">
        <v>499</v>
      </c>
      <c r="AA1279" t="n">
        <v>548</v>
      </c>
      <c r="AB1279" t="n">
        <v>5</v>
      </c>
      <c r="AC1279" t="n">
        <v>5</v>
      </c>
      <c r="AD1279" t="n">
        <v>19</v>
      </c>
      <c r="AE1279" t="n">
        <v>19</v>
      </c>
      <c r="AF1279" t="n">
        <v>5</v>
      </c>
      <c r="AG1279" t="n">
        <v>5</v>
      </c>
      <c r="AH1279" t="n">
        <v>5</v>
      </c>
      <c r="AI1279" t="n">
        <v>5</v>
      </c>
      <c r="AJ1279" t="n">
        <v>8</v>
      </c>
      <c r="AK1279" t="n">
        <v>8</v>
      </c>
      <c r="AL1279" t="n">
        <v>4</v>
      </c>
      <c r="AM1279" t="n">
        <v>4</v>
      </c>
      <c r="AN1279" t="n">
        <v>1</v>
      </c>
      <c r="AO1279" t="n">
        <v>1</v>
      </c>
      <c r="AP1279" t="inlineStr">
        <is>
          <t>No</t>
        </is>
      </c>
      <c r="AQ1279" t="inlineStr">
        <is>
          <t>Yes</t>
        </is>
      </c>
      <c r="AR1279">
        <f>HYPERLINK("http://catalog.hathitrust.org/Record/000386831","HathiTrust Record")</f>
        <v/>
      </c>
      <c r="AS1279">
        <f>HYPERLINK("https://creighton-primo.hosted.exlibrisgroup.com/primo-explore/search?tab=default_tab&amp;search_scope=EVERYTHING&amp;vid=01CRU&amp;lang=en_US&amp;offset=0&amp;query=any,contains,991000242779702656","Catalog Record")</f>
        <v/>
      </c>
      <c r="AT1279">
        <f>HYPERLINK("http://www.worldcat.org/oclc/9685704","WorldCat Record")</f>
        <v/>
      </c>
      <c r="AU1279" t="inlineStr">
        <is>
          <t>13633042:eng</t>
        </is>
      </c>
      <c r="AV1279" t="inlineStr">
        <is>
          <t>9685704</t>
        </is>
      </c>
      <c r="AW1279" t="inlineStr">
        <is>
          <t>991000242779702656</t>
        </is>
      </c>
      <c r="AX1279" t="inlineStr">
        <is>
          <t>991000242779702656</t>
        </is>
      </c>
      <c r="AY1279" t="inlineStr">
        <is>
          <t>2263175650002656</t>
        </is>
      </c>
      <c r="AZ1279" t="inlineStr">
        <is>
          <t>BOOK</t>
        </is>
      </c>
      <c r="BB1279" t="inlineStr">
        <is>
          <t>9780898851366</t>
        </is>
      </c>
      <c r="BC1279" t="inlineStr">
        <is>
          <t>32285000134675</t>
        </is>
      </c>
      <c r="BD1279" t="inlineStr">
        <is>
          <t>893320930</t>
        </is>
      </c>
    </row>
    <row r="1280">
      <c r="A1280" t="inlineStr">
        <is>
          <t>No</t>
        </is>
      </c>
      <c r="B1280" t="inlineStr">
        <is>
          <t>BF789.D4 W4</t>
        </is>
      </c>
      <c r="C1280" t="inlineStr">
        <is>
          <t>0                      BF 0789000D  4                  W  4</t>
        </is>
      </c>
      <c r="D1280" t="inlineStr">
        <is>
          <t>On dying and denying : a psychiatric study of terminality / Avery D. Weisman ; foreword by Herman Feifel.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K1280" t="inlineStr">
        <is>
          <t>Weisman, Avery D.</t>
        </is>
      </c>
      <c r="L1280" t="inlineStr">
        <is>
          <t>New York : Behavioral Publications, 1972.</t>
        </is>
      </c>
      <c r="M1280" t="inlineStr">
        <is>
          <t>1972</t>
        </is>
      </c>
      <c r="O1280" t="inlineStr">
        <is>
          <t>eng</t>
        </is>
      </c>
      <c r="P1280" t="inlineStr">
        <is>
          <t>nyu</t>
        </is>
      </c>
      <c r="Q1280" t="inlineStr">
        <is>
          <t>Gerontology series</t>
        </is>
      </c>
      <c r="R1280" t="inlineStr">
        <is>
          <t xml:space="preserve">BF </t>
        </is>
      </c>
      <c r="S1280" t="n">
        <v>11</v>
      </c>
      <c r="T1280" t="n">
        <v>11</v>
      </c>
      <c r="U1280" t="inlineStr">
        <is>
          <t>1996-04-30</t>
        </is>
      </c>
      <c r="V1280" t="inlineStr">
        <is>
          <t>1996-04-30</t>
        </is>
      </c>
      <c r="W1280" t="inlineStr">
        <is>
          <t>1990-05-08</t>
        </is>
      </c>
      <c r="X1280" t="inlineStr">
        <is>
          <t>1990-05-08</t>
        </is>
      </c>
      <c r="Y1280" t="n">
        <v>1067</v>
      </c>
      <c r="Z1280" t="n">
        <v>941</v>
      </c>
      <c r="AA1280" t="n">
        <v>1019</v>
      </c>
      <c r="AB1280" t="n">
        <v>7</v>
      </c>
      <c r="AC1280" t="n">
        <v>7</v>
      </c>
      <c r="AD1280" t="n">
        <v>35</v>
      </c>
      <c r="AE1280" t="n">
        <v>38</v>
      </c>
      <c r="AF1280" t="n">
        <v>14</v>
      </c>
      <c r="AG1280" t="n">
        <v>17</v>
      </c>
      <c r="AH1280" t="n">
        <v>9</v>
      </c>
      <c r="AI1280" t="n">
        <v>9</v>
      </c>
      <c r="AJ1280" t="n">
        <v>16</v>
      </c>
      <c r="AK1280" t="n">
        <v>17</v>
      </c>
      <c r="AL1280" t="n">
        <v>5</v>
      </c>
      <c r="AM1280" t="n">
        <v>5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Yes</t>
        </is>
      </c>
      <c r="AR1280">
        <f>HYPERLINK("http://catalog.hathitrust.org/Record/000471096","HathiTrust Record")</f>
        <v/>
      </c>
      <c r="AS1280">
        <f>HYPERLINK("https://creighton-primo.hosted.exlibrisgroup.com/primo-explore/search?tab=default_tab&amp;search_scope=EVERYTHING&amp;vid=01CRU&amp;lang=en_US&amp;offset=0&amp;query=any,contains,991002811989702656","Catalog Record")</f>
        <v/>
      </c>
      <c r="AT1280">
        <f>HYPERLINK("http://www.worldcat.org/oclc/456509","WorldCat Record")</f>
        <v/>
      </c>
      <c r="AU1280" t="inlineStr">
        <is>
          <t>1468015:eng</t>
        </is>
      </c>
      <c r="AV1280" t="inlineStr">
        <is>
          <t>456509</t>
        </is>
      </c>
      <c r="AW1280" t="inlineStr">
        <is>
          <t>991002811989702656</t>
        </is>
      </c>
      <c r="AX1280" t="inlineStr">
        <is>
          <t>991002811989702656</t>
        </is>
      </c>
      <c r="AY1280" t="inlineStr">
        <is>
          <t>2260863080002656</t>
        </is>
      </c>
      <c r="AZ1280" t="inlineStr">
        <is>
          <t>BOOK</t>
        </is>
      </c>
      <c r="BB1280" t="inlineStr">
        <is>
          <t>9780877050681</t>
        </is>
      </c>
      <c r="BC1280" t="inlineStr">
        <is>
          <t>32285000129410</t>
        </is>
      </c>
      <c r="BD1280" t="inlineStr">
        <is>
          <t>893428072</t>
        </is>
      </c>
    </row>
    <row r="1281">
      <c r="A1281" t="inlineStr">
        <is>
          <t>No</t>
        </is>
      </c>
      <c r="B1281" t="inlineStr">
        <is>
          <t>BF789.S6 D85</t>
        </is>
      </c>
      <c r="C1281" t="inlineStr">
        <is>
          <t>0                      BF 0789000S  6                  D  85</t>
        </is>
      </c>
      <c r="D1281" t="inlineStr">
        <is>
          <t>Smoking behavior : motives and incentives / edited by William L. Dunn, Jr.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Dunn, William L.</t>
        </is>
      </c>
      <c r="L1281" t="inlineStr">
        <is>
          <t>Washington : V.H. Winston ; distributed by the Halsted Press Division, Wiley, 1973.</t>
        </is>
      </c>
      <c r="M1281" t="inlineStr">
        <is>
          <t>1973</t>
        </is>
      </c>
      <c r="O1281" t="inlineStr">
        <is>
          <t>eng</t>
        </is>
      </c>
      <c r="P1281" t="inlineStr">
        <is>
          <t>dcu</t>
        </is>
      </c>
      <c r="R1281" t="inlineStr">
        <is>
          <t xml:space="preserve">BF </t>
        </is>
      </c>
      <c r="S1281" t="n">
        <v>14</v>
      </c>
      <c r="T1281" t="n">
        <v>14</v>
      </c>
      <c r="U1281" t="inlineStr">
        <is>
          <t>1998-10-26</t>
        </is>
      </c>
      <c r="V1281" t="inlineStr">
        <is>
          <t>1998-10-26</t>
        </is>
      </c>
      <c r="W1281" t="inlineStr">
        <is>
          <t>1990-10-01</t>
        </is>
      </c>
      <c r="X1281" t="inlineStr">
        <is>
          <t>1990-10-01</t>
        </is>
      </c>
      <c r="Y1281" t="n">
        <v>513</v>
      </c>
      <c r="Z1281" t="n">
        <v>403</v>
      </c>
      <c r="AA1281" t="n">
        <v>406</v>
      </c>
      <c r="AB1281" t="n">
        <v>1</v>
      </c>
      <c r="AC1281" t="n">
        <v>1</v>
      </c>
      <c r="AD1281" t="n">
        <v>11</v>
      </c>
      <c r="AE1281" t="n">
        <v>11</v>
      </c>
      <c r="AF1281" t="n">
        <v>4</v>
      </c>
      <c r="AG1281" t="n">
        <v>4</v>
      </c>
      <c r="AH1281" t="n">
        <v>5</v>
      </c>
      <c r="AI1281" t="n">
        <v>5</v>
      </c>
      <c r="AJ1281" t="n">
        <v>7</v>
      </c>
      <c r="AK1281" t="n">
        <v>7</v>
      </c>
      <c r="AL1281" t="n">
        <v>0</v>
      </c>
      <c r="AM1281" t="n">
        <v>0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Yes</t>
        </is>
      </c>
      <c r="AR1281">
        <f>HYPERLINK("http://catalog.hathitrust.org/Record/000471352","HathiTrust Record")</f>
        <v/>
      </c>
      <c r="AS1281">
        <f>HYPERLINK("https://creighton-primo.hosted.exlibrisgroup.com/primo-explore/search?tab=default_tab&amp;search_scope=EVERYTHING&amp;vid=01CRU&amp;lang=en_US&amp;offset=0&amp;query=any,contains,991002950999702656","Catalog Record")</f>
        <v/>
      </c>
      <c r="AT1281">
        <f>HYPERLINK("http://www.worldcat.org/oclc/538858","WorldCat Record")</f>
        <v/>
      </c>
      <c r="AU1281" t="inlineStr">
        <is>
          <t>346947168:eng</t>
        </is>
      </c>
      <c r="AV1281" t="inlineStr">
        <is>
          <t>538858</t>
        </is>
      </c>
      <c r="AW1281" t="inlineStr">
        <is>
          <t>991002950999702656</t>
        </is>
      </c>
      <c r="AX1281" t="inlineStr">
        <is>
          <t>991002950999702656</t>
        </is>
      </c>
      <c r="AY1281" t="inlineStr">
        <is>
          <t>2262492900002656</t>
        </is>
      </c>
      <c r="AZ1281" t="inlineStr">
        <is>
          <t>BOOK</t>
        </is>
      </c>
      <c r="BB1281" t="inlineStr">
        <is>
          <t>9780470227466</t>
        </is>
      </c>
      <c r="BC1281" t="inlineStr">
        <is>
          <t>32285000322999</t>
        </is>
      </c>
      <c r="BD1281" t="inlineStr">
        <is>
          <t>893867925</t>
        </is>
      </c>
    </row>
    <row r="1282">
      <c r="A1282" t="inlineStr">
        <is>
          <t>No</t>
        </is>
      </c>
      <c r="B1282" t="inlineStr">
        <is>
          <t>BF789.S8 .M24 1990</t>
        </is>
      </c>
      <c r="C1282" t="inlineStr">
        <is>
          <t>0                      BF 0789000S  8                  M  24          1990</t>
        </is>
      </c>
      <c r="D1282" t="inlineStr">
        <is>
          <t>Suffering : a caregiver's guide / John L. Maes.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K1282" t="inlineStr">
        <is>
          <t>Maes, John L., 1923-</t>
        </is>
      </c>
      <c r="L1282" t="inlineStr">
        <is>
          <t>Nashville : Abingdon Press, c1990.</t>
        </is>
      </c>
      <c r="M1282" t="inlineStr">
        <is>
          <t>1990</t>
        </is>
      </c>
      <c r="O1282" t="inlineStr">
        <is>
          <t>eng</t>
        </is>
      </c>
      <c r="P1282" t="inlineStr">
        <is>
          <t>tnu</t>
        </is>
      </c>
      <c r="R1282" t="inlineStr">
        <is>
          <t xml:space="preserve">BF </t>
        </is>
      </c>
      <c r="S1282" t="n">
        <v>7</v>
      </c>
      <c r="T1282" t="n">
        <v>7</v>
      </c>
      <c r="U1282" t="inlineStr">
        <is>
          <t>2002-03-20</t>
        </is>
      </c>
      <c r="V1282" t="inlineStr">
        <is>
          <t>2002-03-20</t>
        </is>
      </c>
      <c r="W1282" t="inlineStr">
        <is>
          <t>1990-04-23</t>
        </is>
      </c>
      <c r="X1282" t="inlineStr">
        <is>
          <t>1990-04-23</t>
        </is>
      </c>
      <c r="Y1282" t="n">
        <v>153</v>
      </c>
      <c r="Z1282" t="n">
        <v>129</v>
      </c>
      <c r="AA1282" t="n">
        <v>129</v>
      </c>
      <c r="AB1282" t="n">
        <v>1</v>
      </c>
      <c r="AC1282" t="n">
        <v>1</v>
      </c>
      <c r="AD1282" t="n">
        <v>5</v>
      </c>
      <c r="AE1282" t="n">
        <v>5</v>
      </c>
      <c r="AF1282" t="n">
        <v>2</v>
      </c>
      <c r="AG1282" t="n">
        <v>2</v>
      </c>
      <c r="AH1282" t="n">
        <v>1</v>
      </c>
      <c r="AI1282" t="n">
        <v>1</v>
      </c>
      <c r="AJ1282" t="n">
        <v>2</v>
      </c>
      <c r="AK1282" t="n">
        <v>2</v>
      </c>
      <c r="AL1282" t="n">
        <v>0</v>
      </c>
      <c r="AM1282" t="n">
        <v>0</v>
      </c>
      <c r="AN1282" t="n">
        <v>0</v>
      </c>
      <c r="AO1282" t="n">
        <v>0</v>
      </c>
      <c r="AP1282" t="inlineStr">
        <is>
          <t>No</t>
        </is>
      </c>
      <c r="AQ1282" t="inlineStr">
        <is>
          <t>No</t>
        </is>
      </c>
      <c r="AS1282">
        <f>HYPERLINK("https://creighton-primo.hosted.exlibrisgroup.com/primo-explore/search?tab=default_tab&amp;search_scope=EVERYTHING&amp;vid=01CRU&amp;lang=en_US&amp;offset=0&amp;query=any,contains,991001575639702656","Catalog Record")</f>
        <v/>
      </c>
      <c r="AT1282">
        <f>HYPERLINK("http://www.worldcat.org/oclc/20422859","WorldCat Record")</f>
        <v/>
      </c>
      <c r="AU1282" t="inlineStr">
        <is>
          <t>22323626:eng</t>
        </is>
      </c>
      <c r="AV1282" t="inlineStr">
        <is>
          <t>20422859</t>
        </is>
      </c>
      <c r="AW1282" t="inlineStr">
        <is>
          <t>991001575639702656</t>
        </is>
      </c>
      <c r="AX1282" t="inlineStr">
        <is>
          <t>991001575639702656</t>
        </is>
      </c>
      <c r="AY1282" t="inlineStr">
        <is>
          <t>2265053470002656</t>
        </is>
      </c>
      <c r="AZ1282" t="inlineStr">
        <is>
          <t>BOOK</t>
        </is>
      </c>
      <c r="BB1282" t="inlineStr">
        <is>
          <t>9780687405701</t>
        </is>
      </c>
      <c r="BC1282" t="inlineStr">
        <is>
          <t>32285000115575</t>
        </is>
      </c>
      <c r="BD1282" t="inlineStr">
        <is>
          <t>893891653</t>
        </is>
      </c>
    </row>
    <row r="1283">
      <c r="A1283" t="inlineStr">
        <is>
          <t>No</t>
        </is>
      </c>
      <c r="B1283" t="inlineStr">
        <is>
          <t>BF789.S8 R56 1986</t>
        </is>
      </c>
      <c r="C1283" t="inlineStr">
        <is>
          <t>0                      BF 0789000S  8                  R  56          1986</t>
        </is>
      </c>
      <c r="D1283" t="inlineStr">
        <is>
          <t>Growing strong at broken places / Paula Ripple.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K1283" t="inlineStr">
        <is>
          <t>Comin, Paula Ripple.</t>
        </is>
      </c>
      <c r="L1283" t="inlineStr">
        <is>
          <t>Notre Dame, Ind. : Ave Maria Press, c1986.</t>
        </is>
      </c>
      <c r="M1283" t="inlineStr">
        <is>
          <t>1986</t>
        </is>
      </c>
      <c r="O1283" t="inlineStr">
        <is>
          <t>eng</t>
        </is>
      </c>
      <c r="P1283" t="inlineStr">
        <is>
          <t>inu</t>
        </is>
      </c>
      <c r="R1283" t="inlineStr">
        <is>
          <t xml:space="preserve">BF </t>
        </is>
      </c>
      <c r="S1283" t="n">
        <v>7</v>
      </c>
      <c r="T1283" t="n">
        <v>7</v>
      </c>
      <c r="U1283" t="inlineStr">
        <is>
          <t>2009-06-15</t>
        </is>
      </c>
      <c r="V1283" t="inlineStr">
        <is>
          <t>2009-06-15</t>
        </is>
      </c>
      <c r="W1283" t="inlineStr">
        <is>
          <t>1990-07-11</t>
        </is>
      </c>
      <c r="X1283" t="inlineStr">
        <is>
          <t>1990-07-11</t>
        </is>
      </c>
      <c r="Y1283" t="n">
        <v>153</v>
      </c>
      <c r="Z1283" t="n">
        <v>131</v>
      </c>
      <c r="AA1283" t="n">
        <v>191</v>
      </c>
      <c r="AB1283" t="n">
        <v>2</v>
      </c>
      <c r="AC1283" t="n">
        <v>2</v>
      </c>
      <c r="AD1283" t="n">
        <v>9</v>
      </c>
      <c r="AE1283" t="n">
        <v>9</v>
      </c>
      <c r="AF1283" t="n">
        <v>2</v>
      </c>
      <c r="AG1283" t="n">
        <v>2</v>
      </c>
      <c r="AH1283" t="n">
        <v>1</v>
      </c>
      <c r="AI1283" t="n">
        <v>1</v>
      </c>
      <c r="AJ1283" t="n">
        <v>7</v>
      </c>
      <c r="AK1283" t="n">
        <v>7</v>
      </c>
      <c r="AL1283" t="n">
        <v>0</v>
      </c>
      <c r="AM1283" t="n">
        <v>0</v>
      </c>
      <c r="AN1283" t="n">
        <v>0</v>
      </c>
      <c r="AO1283" t="n">
        <v>0</v>
      </c>
      <c r="AP1283" t="inlineStr">
        <is>
          <t>No</t>
        </is>
      </c>
      <c r="AQ1283" t="inlineStr">
        <is>
          <t>No</t>
        </is>
      </c>
      <c r="AS1283">
        <f>HYPERLINK("https://creighton-primo.hosted.exlibrisgroup.com/primo-explore/search?tab=default_tab&amp;search_scope=EVERYTHING&amp;vid=01CRU&amp;lang=en_US&amp;offset=0&amp;query=any,contains,991000925039702656","Catalog Record")</f>
        <v/>
      </c>
      <c r="AT1283">
        <f>HYPERLINK("http://www.worldcat.org/oclc/14238268","WorldCat Record")</f>
        <v/>
      </c>
      <c r="AU1283" t="inlineStr">
        <is>
          <t>354807:eng</t>
        </is>
      </c>
      <c r="AV1283" t="inlineStr">
        <is>
          <t>14238268</t>
        </is>
      </c>
      <c r="AW1283" t="inlineStr">
        <is>
          <t>991000925039702656</t>
        </is>
      </c>
      <c r="AX1283" t="inlineStr">
        <is>
          <t>991000925039702656</t>
        </is>
      </c>
      <c r="AY1283" t="inlineStr">
        <is>
          <t>2264438800002656</t>
        </is>
      </c>
      <c r="AZ1283" t="inlineStr">
        <is>
          <t>BOOK</t>
        </is>
      </c>
      <c r="BB1283" t="inlineStr">
        <is>
          <t>9780877933403</t>
        </is>
      </c>
      <c r="BC1283" t="inlineStr">
        <is>
          <t>32285000224047</t>
        </is>
      </c>
      <c r="BD1283" t="inlineStr">
        <is>
          <t>893515746</t>
        </is>
      </c>
    </row>
    <row r="1284">
      <c r="A1284" t="inlineStr">
        <is>
          <t>No</t>
        </is>
      </c>
      <c r="B1284" t="inlineStr">
        <is>
          <t>BF798 .T47</t>
        </is>
      </c>
      <c r="C1284" t="inlineStr">
        <is>
          <t>0                      BF 0798000T  47</t>
        </is>
      </c>
      <c r="D1284" t="inlineStr">
        <is>
          <t>Temperament and development / Alexander Thomas and Stella Chess.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Thomas, Alexander, 1914-2003.</t>
        </is>
      </c>
      <c r="L1284" t="inlineStr">
        <is>
          <t>New York : Brunner/Mazel, c1977.</t>
        </is>
      </c>
      <c r="M1284" t="inlineStr">
        <is>
          <t>1977</t>
        </is>
      </c>
      <c r="O1284" t="inlineStr">
        <is>
          <t>eng</t>
        </is>
      </c>
      <c r="P1284" t="inlineStr">
        <is>
          <t>nyu</t>
        </is>
      </c>
      <c r="R1284" t="inlineStr">
        <is>
          <t xml:space="preserve">BF </t>
        </is>
      </c>
      <c r="S1284" t="n">
        <v>5</v>
      </c>
      <c r="T1284" t="n">
        <v>5</v>
      </c>
      <c r="U1284" t="inlineStr">
        <is>
          <t>1999-11-27</t>
        </is>
      </c>
      <c r="V1284" t="inlineStr">
        <is>
          <t>1999-11-27</t>
        </is>
      </c>
      <c r="W1284" t="inlineStr">
        <is>
          <t>1992-11-04</t>
        </is>
      </c>
      <c r="X1284" t="inlineStr">
        <is>
          <t>1992-11-04</t>
        </is>
      </c>
      <c r="Y1284" t="n">
        <v>797</v>
      </c>
      <c r="Z1284" t="n">
        <v>659</v>
      </c>
      <c r="AA1284" t="n">
        <v>662</v>
      </c>
      <c r="AB1284" t="n">
        <v>4</v>
      </c>
      <c r="AC1284" t="n">
        <v>4</v>
      </c>
      <c r="AD1284" t="n">
        <v>21</v>
      </c>
      <c r="AE1284" t="n">
        <v>21</v>
      </c>
      <c r="AF1284" t="n">
        <v>9</v>
      </c>
      <c r="AG1284" t="n">
        <v>9</v>
      </c>
      <c r="AH1284" t="n">
        <v>5</v>
      </c>
      <c r="AI1284" t="n">
        <v>5</v>
      </c>
      <c r="AJ1284" t="n">
        <v>10</v>
      </c>
      <c r="AK1284" t="n">
        <v>10</v>
      </c>
      <c r="AL1284" t="n">
        <v>2</v>
      </c>
      <c r="AM1284" t="n">
        <v>2</v>
      </c>
      <c r="AN1284" t="n">
        <v>0</v>
      </c>
      <c r="AO1284" t="n">
        <v>0</v>
      </c>
      <c r="AP1284" t="inlineStr">
        <is>
          <t>No</t>
        </is>
      </c>
      <c r="AQ1284" t="inlineStr">
        <is>
          <t>Yes</t>
        </is>
      </c>
      <c r="AR1284">
        <f>HYPERLINK("http://catalog.hathitrust.org/Record/000169696","HathiTrust Record")</f>
        <v/>
      </c>
      <c r="AS1284">
        <f>HYPERLINK("https://creighton-primo.hosted.exlibrisgroup.com/primo-explore/search?tab=default_tab&amp;search_scope=EVERYTHING&amp;vid=01CRU&amp;lang=en_US&amp;offset=0&amp;query=any,contains,991004202029702656","Catalog Record")</f>
        <v/>
      </c>
      <c r="AT1284">
        <f>HYPERLINK("http://www.worldcat.org/oclc/2655595","WorldCat Record")</f>
        <v/>
      </c>
      <c r="AU1284" t="inlineStr">
        <is>
          <t>533813:eng</t>
        </is>
      </c>
      <c r="AV1284" t="inlineStr">
        <is>
          <t>2655595</t>
        </is>
      </c>
      <c r="AW1284" t="inlineStr">
        <is>
          <t>991004202029702656</t>
        </is>
      </c>
      <c r="AX1284" t="inlineStr">
        <is>
          <t>991004202029702656</t>
        </is>
      </c>
      <c r="AY1284" t="inlineStr">
        <is>
          <t>2256441130002656</t>
        </is>
      </c>
      <c r="AZ1284" t="inlineStr">
        <is>
          <t>BOOK</t>
        </is>
      </c>
      <c r="BB1284" t="inlineStr">
        <is>
          <t>9780876301395</t>
        </is>
      </c>
      <c r="BC1284" t="inlineStr">
        <is>
          <t>32285001380723</t>
        </is>
      </c>
      <c r="BD1284" t="inlineStr">
        <is>
          <t>893235181</t>
        </is>
      </c>
    </row>
    <row r="1285">
      <c r="A1285" t="inlineStr">
        <is>
          <t>No</t>
        </is>
      </c>
      <c r="B1285" t="inlineStr">
        <is>
          <t>BF81 .B7 1965</t>
        </is>
      </c>
      <c r="C1285" t="inlineStr">
        <is>
          <t>0                      BF 0081000B  7           1965</t>
        </is>
      </c>
      <c r="D1285" t="inlineStr">
        <is>
          <t>Brett's History of psychology / edited and abridged by R. S. Peters.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Brett, George Sidney, 1879-1944.</t>
        </is>
      </c>
      <c r="L1285" t="inlineStr">
        <is>
          <t>Cambridge, Mass. : M.I.T. Press, [1965]</t>
        </is>
      </c>
      <c r="M1285" t="inlineStr">
        <is>
          <t>1965</t>
        </is>
      </c>
      <c r="N1285" t="inlineStr">
        <is>
          <t>[2d rev. ed.]</t>
        </is>
      </c>
      <c r="O1285" t="inlineStr">
        <is>
          <t>eng</t>
        </is>
      </c>
      <c r="P1285" t="inlineStr">
        <is>
          <t>mau</t>
        </is>
      </c>
      <c r="Q1285" t="inlineStr">
        <is>
          <t>The M.I.T. paperback series, MIT24</t>
        </is>
      </c>
      <c r="R1285" t="inlineStr">
        <is>
          <t xml:space="preserve">BF </t>
        </is>
      </c>
      <c r="S1285" t="n">
        <v>7</v>
      </c>
      <c r="T1285" t="n">
        <v>7</v>
      </c>
      <c r="U1285" t="inlineStr">
        <is>
          <t>1996-09-26</t>
        </is>
      </c>
      <c r="V1285" t="inlineStr">
        <is>
          <t>1996-09-26</t>
        </is>
      </c>
      <c r="W1285" t="inlineStr">
        <is>
          <t>1993-02-25</t>
        </is>
      </c>
      <c r="X1285" t="inlineStr">
        <is>
          <t>1993-02-25</t>
        </is>
      </c>
      <c r="Y1285" t="n">
        <v>480</v>
      </c>
      <c r="Z1285" t="n">
        <v>443</v>
      </c>
      <c r="AA1285" t="n">
        <v>1011</v>
      </c>
      <c r="AB1285" t="n">
        <v>3</v>
      </c>
      <c r="AC1285" t="n">
        <v>7</v>
      </c>
      <c r="AD1285" t="n">
        <v>17</v>
      </c>
      <c r="AE1285" t="n">
        <v>41</v>
      </c>
      <c r="AF1285" t="n">
        <v>5</v>
      </c>
      <c r="AG1285" t="n">
        <v>16</v>
      </c>
      <c r="AH1285" t="n">
        <v>4</v>
      </c>
      <c r="AI1285" t="n">
        <v>8</v>
      </c>
      <c r="AJ1285" t="n">
        <v>9</v>
      </c>
      <c r="AK1285" t="n">
        <v>23</v>
      </c>
      <c r="AL1285" t="n">
        <v>2</v>
      </c>
      <c r="AM1285" t="n">
        <v>5</v>
      </c>
      <c r="AN1285" t="n">
        <v>1</v>
      </c>
      <c r="AO1285" t="n">
        <v>1</v>
      </c>
      <c r="AP1285" t="inlineStr">
        <is>
          <t>No</t>
        </is>
      </c>
      <c r="AQ1285" t="inlineStr">
        <is>
          <t>Yes</t>
        </is>
      </c>
      <c r="AR1285">
        <f>HYPERLINK("http://catalog.hathitrust.org/Record/004443001","HathiTrust Record")</f>
        <v/>
      </c>
      <c r="AS1285">
        <f>HYPERLINK("https://creighton-primo.hosted.exlibrisgroup.com/primo-explore/search?tab=default_tab&amp;search_scope=EVERYTHING&amp;vid=01CRU&amp;lang=en_US&amp;offset=0&amp;query=any,contains,991001197679702656","Catalog Record")</f>
        <v/>
      </c>
      <c r="AT1285">
        <f>HYPERLINK("http://www.worldcat.org/oclc/14478668","WorldCat Record")</f>
        <v/>
      </c>
      <c r="AU1285" t="inlineStr">
        <is>
          <t>4663581449:eng</t>
        </is>
      </c>
      <c r="AV1285" t="inlineStr">
        <is>
          <t>14478668</t>
        </is>
      </c>
      <c r="AW1285" t="inlineStr">
        <is>
          <t>991001197679702656</t>
        </is>
      </c>
      <c r="AX1285" t="inlineStr">
        <is>
          <t>991001197679702656</t>
        </is>
      </c>
      <c r="AY1285" t="inlineStr">
        <is>
          <t>2258838110002656</t>
        </is>
      </c>
      <c r="AZ1285" t="inlineStr">
        <is>
          <t>BOOK</t>
        </is>
      </c>
      <c r="BC1285" t="inlineStr">
        <is>
          <t>32285001538551</t>
        </is>
      </c>
      <c r="BD1285" t="inlineStr">
        <is>
          <t>893327942</t>
        </is>
      </c>
    </row>
    <row r="1286">
      <c r="A1286" t="inlineStr">
        <is>
          <t>No</t>
        </is>
      </c>
      <c r="B1286" t="inlineStr">
        <is>
          <t>BF81 .C43 1979</t>
        </is>
      </c>
      <c r="C1286" t="inlineStr">
        <is>
          <t>0                      BF 0081000C  43          1979</t>
        </is>
      </c>
      <c r="D1286" t="inlineStr">
        <is>
          <t>Systems and theories of psychology / James P. Chaplin, T. S. Krawiec.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K1286" t="inlineStr">
        <is>
          <t>Chaplin, James P. (James Patrick), 1919-2010.</t>
        </is>
      </c>
      <c r="L1286" t="inlineStr">
        <is>
          <t>New York : Holt, Rinehart and Winston, c1979.</t>
        </is>
      </c>
      <c r="M1286" t="inlineStr">
        <is>
          <t>1979</t>
        </is>
      </c>
      <c r="N1286" t="inlineStr">
        <is>
          <t>4th ed.</t>
        </is>
      </c>
      <c r="O1286" t="inlineStr">
        <is>
          <t>eng</t>
        </is>
      </c>
      <c r="P1286" t="inlineStr">
        <is>
          <t>nyu</t>
        </is>
      </c>
      <c r="R1286" t="inlineStr">
        <is>
          <t xml:space="preserve">BF </t>
        </is>
      </c>
      <c r="S1286" t="n">
        <v>5</v>
      </c>
      <c r="T1286" t="n">
        <v>5</v>
      </c>
      <c r="U1286" t="inlineStr">
        <is>
          <t>1995-03-24</t>
        </is>
      </c>
      <c r="V1286" t="inlineStr">
        <is>
          <t>1995-03-24</t>
        </is>
      </c>
      <c r="W1286" t="inlineStr">
        <is>
          <t>1990-02-19</t>
        </is>
      </c>
      <c r="X1286" t="inlineStr">
        <is>
          <t>1990-02-19</t>
        </is>
      </c>
      <c r="Y1286" t="n">
        <v>263</v>
      </c>
      <c r="Z1286" t="n">
        <v>194</v>
      </c>
      <c r="AA1286" t="n">
        <v>894</v>
      </c>
      <c r="AB1286" t="n">
        <v>1</v>
      </c>
      <c r="AC1286" t="n">
        <v>8</v>
      </c>
      <c r="AD1286" t="n">
        <v>6</v>
      </c>
      <c r="AE1286" t="n">
        <v>37</v>
      </c>
      <c r="AF1286" t="n">
        <v>2</v>
      </c>
      <c r="AG1286" t="n">
        <v>16</v>
      </c>
      <c r="AH1286" t="n">
        <v>1</v>
      </c>
      <c r="AI1286" t="n">
        <v>7</v>
      </c>
      <c r="AJ1286" t="n">
        <v>4</v>
      </c>
      <c r="AK1286" t="n">
        <v>17</v>
      </c>
      <c r="AL1286" t="n">
        <v>0</v>
      </c>
      <c r="AM1286" t="n">
        <v>6</v>
      </c>
      <c r="AN1286" t="n">
        <v>0</v>
      </c>
      <c r="AO1286" t="n">
        <v>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HYPERLINK("https://creighton-primo.hosted.exlibrisgroup.com/primo-explore/search?tab=default_tab&amp;search_scope=EVERYTHING&amp;vid=01CRU&amp;lang=en_US&amp;offset=0&amp;query=any,contains,991004661609702656","Catalog Record")</f>
        <v/>
      </c>
      <c r="AT1286">
        <f>HYPERLINK("http://www.worldcat.org/oclc/4497183","WorldCat Record")</f>
        <v/>
      </c>
      <c r="AU1286" t="inlineStr">
        <is>
          <t>401093:eng</t>
        </is>
      </c>
      <c r="AV1286" t="inlineStr">
        <is>
          <t>4497183</t>
        </is>
      </c>
      <c r="AW1286" t="inlineStr">
        <is>
          <t>991004661609702656</t>
        </is>
      </c>
      <c r="AX1286" t="inlineStr">
        <is>
          <t>991004661609702656</t>
        </is>
      </c>
      <c r="AY1286" t="inlineStr">
        <is>
          <t>2266964970002656</t>
        </is>
      </c>
      <c r="AZ1286" t="inlineStr">
        <is>
          <t>BOOK</t>
        </is>
      </c>
      <c r="BB1286" t="inlineStr">
        <is>
          <t>9780030202711</t>
        </is>
      </c>
      <c r="BC1286" t="inlineStr">
        <is>
          <t>32285000054253</t>
        </is>
      </c>
      <c r="BD1286" t="inlineStr">
        <is>
          <t>893325613</t>
        </is>
      </c>
    </row>
    <row r="1287">
      <c r="A1287" t="inlineStr">
        <is>
          <t>No</t>
        </is>
      </c>
      <c r="B1287" t="inlineStr">
        <is>
          <t>BF81 .E8</t>
        </is>
      </c>
      <c r="C1287" t="inlineStr">
        <is>
          <t>0                      BF 0081000E  8</t>
        </is>
      </c>
      <c r="D1287" t="inlineStr">
        <is>
          <t>A history of psychology.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K1287" t="inlineStr">
        <is>
          <t>Esper, Erwin A. (Erwin Allen), 1895-1972.</t>
        </is>
      </c>
      <c r="L1287" t="inlineStr">
        <is>
          <t>Philadelphia : W. B. Saunders, 1964.</t>
        </is>
      </c>
      <c r="M1287" t="inlineStr">
        <is>
          <t>1964</t>
        </is>
      </c>
      <c r="O1287" t="inlineStr">
        <is>
          <t>eng</t>
        </is>
      </c>
      <c r="P1287" t="inlineStr">
        <is>
          <t>pau</t>
        </is>
      </c>
      <c r="R1287" t="inlineStr">
        <is>
          <t xml:space="preserve">BF </t>
        </is>
      </c>
      <c r="S1287" t="n">
        <v>5</v>
      </c>
      <c r="T1287" t="n">
        <v>5</v>
      </c>
      <c r="U1287" t="inlineStr">
        <is>
          <t>1995-02-03</t>
        </is>
      </c>
      <c r="V1287" t="inlineStr">
        <is>
          <t>1995-02-03</t>
        </is>
      </c>
      <c r="W1287" t="inlineStr">
        <is>
          <t>1993-02-05</t>
        </is>
      </c>
      <c r="X1287" t="inlineStr">
        <is>
          <t>1993-02-05</t>
        </is>
      </c>
      <c r="Y1287" t="n">
        <v>836</v>
      </c>
      <c r="Z1287" t="n">
        <v>720</v>
      </c>
      <c r="AA1287" t="n">
        <v>737</v>
      </c>
      <c r="AB1287" t="n">
        <v>6</v>
      </c>
      <c r="AC1287" t="n">
        <v>6</v>
      </c>
      <c r="AD1287" t="n">
        <v>35</v>
      </c>
      <c r="AE1287" t="n">
        <v>36</v>
      </c>
      <c r="AF1287" t="n">
        <v>14</v>
      </c>
      <c r="AG1287" t="n">
        <v>15</v>
      </c>
      <c r="AH1287" t="n">
        <v>8</v>
      </c>
      <c r="AI1287" t="n">
        <v>8</v>
      </c>
      <c r="AJ1287" t="n">
        <v>18</v>
      </c>
      <c r="AK1287" t="n">
        <v>18</v>
      </c>
      <c r="AL1287" t="n">
        <v>4</v>
      </c>
      <c r="AM1287" t="n">
        <v>4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Yes</t>
        </is>
      </c>
      <c r="AR1287">
        <f>HYPERLINK("http://catalog.hathitrust.org/Record/000581427","HathiTrust Record")</f>
        <v/>
      </c>
      <c r="AS1287">
        <f>HYPERLINK("https://creighton-primo.hosted.exlibrisgroup.com/primo-explore/search?tab=default_tab&amp;search_scope=EVERYTHING&amp;vid=01CRU&amp;lang=en_US&amp;offset=0&amp;query=any,contains,991001204749702656","Catalog Record")</f>
        <v/>
      </c>
      <c r="AT1287">
        <f>HYPERLINK("http://www.worldcat.org/oclc/191720","WorldCat Record")</f>
        <v/>
      </c>
      <c r="AU1287" t="inlineStr">
        <is>
          <t>227665037:eng</t>
        </is>
      </c>
      <c r="AV1287" t="inlineStr">
        <is>
          <t>191720</t>
        </is>
      </c>
      <c r="AW1287" t="inlineStr">
        <is>
          <t>991001204749702656</t>
        </is>
      </c>
      <c r="AX1287" t="inlineStr">
        <is>
          <t>991001204749702656</t>
        </is>
      </c>
      <c r="AY1287" t="inlineStr">
        <is>
          <t>2258945200002656</t>
        </is>
      </c>
      <c r="AZ1287" t="inlineStr">
        <is>
          <t>BOOK</t>
        </is>
      </c>
      <c r="BC1287" t="inlineStr">
        <is>
          <t>32285001484335</t>
        </is>
      </c>
      <c r="BD1287" t="inlineStr">
        <is>
          <t>893509468</t>
        </is>
      </c>
    </row>
    <row r="1288">
      <c r="A1288" t="inlineStr">
        <is>
          <t>No</t>
        </is>
      </c>
      <c r="B1288" t="inlineStr">
        <is>
          <t>BF81 .H33 1987</t>
        </is>
      </c>
      <c r="C1288" t="inlineStr">
        <is>
          <t>0                      BF 0081000H  33          1987</t>
        </is>
      </c>
      <c r="D1288" t="inlineStr">
        <is>
          <t>The shaping of modern psychology / L.S. Hearnshaw.</t>
        </is>
      </c>
      <c r="F1288" t="inlineStr">
        <is>
          <t>No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K1288" t="inlineStr">
        <is>
          <t>Hearnshaw, L. S. (Leslie Spencer)</t>
        </is>
      </c>
      <c r="L1288" t="inlineStr">
        <is>
          <t>London ; New York : Routledge &amp; Kegan Paul, 1987.</t>
        </is>
      </c>
      <c r="M1288" t="inlineStr">
        <is>
          <t>1987</t>
        </is>
      </c>
      <c r="O1288" t="inlineStr">
        <is>
          <t>eng</t>
        </is>
      </c>
      <c r="P1288" t="inlineStr">
        <is>
          <t>enk</t>
        </is>
      </c>
      <c r="R1288" t="inlineStr">
        <is>
          <t xml:space="preserve">BF </t>
        </is>
      </c>
      <c r="S1288" t="n">
        <v>7</v>
      </c>
      <c r="T1288" t="n">
        <v>7</v>
      </c>
      <c r="U1288" t="inlineStr">
        <is>
          <t>1995-10-22</t>
        </is>
      </c>
      <c r="V1288" t="inlineStr">
        <is>
          <t>1995-10-22</t>
        </is>
      </c>
      <c r="W1288" t="inlineStr">
        <is>
          <t>1990-05-01</t>
        </is>
      </c>
      <c r="X1288" t="inlineStr">
        <is>
          <t>1990-05-01</t>
        </is>
      </c>
      <c r="Y1288" t="n">
        <v>662</v>
      </c>
      <c r="Z1288" t="n">
        <v>509</v>
      </c>
      <c r="AA1288" t="n">
        <v>554</v>
      </c>
      <c r="AB1288" t="n">
        <v>3</v>
      </c>
      <c r="AC1288" t="n">
        <v>3</v>
      </c>
      <c r="AD1288" t="n">
        <v>28</v>
      </c>
      <c r="AE1288" t="n">
        <v>28</v>
      </c>
      <c r="AF1288" t="n">
        <v>14</v>
      </c>
      <c r="AG1288" t="n">
        <v>14</v>
      </c>
      <c r="AH1288" t="n">
        <v>6</v>
      </c>
      <c r="AI1288" t="n">
        <v>6</v>
      </c>
      <c r="AJ1288" t="n">
        <v>15</v>
      </c>
      <c r="AK1288" t="n">
        <v>15</v>
      </c>
      <c r="AL1288" t="n">
        <v>2</v>
      </c>
      <c r="AM1288" t="n">
        <v>2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No</t>
        </is>
      </c>
      <c r="AS1288">
        <f>HYPERLINK("https://creighton-primo.hosted.exlibrisgroup.com/primo-explore/search?tab=default_tab&amp;search_scope=EVERYTHING&amp;vid=01CRU&amp;lang=en_US&amp;offset=0&amp;query=any,contains,991000835999702656","Catalog Record")</f>
        <v/>
      </c>
      <c r="AT1288">
        <f>HYPERLINK("http://www.worldcat.org/oclc/13497019","WorldCat Record")</f>
        <v/>
      </c>
      <c r="AU1288" t="inlineStr">
        <is>
          <t>7899643:eng</t>
        </is>
      </c>
      <c r="AV1288" t="inlineStr">
        <is>
          <t>13497019</t>
        </is>
      </c>
      <c r="AW1288" t="inlineStr">
        <is>
          <t>991000835999702656</t>
        </is>
      </c>
      <c r="AX1288" t="inlineStr">
        <is>
          <t>991000835999702656</t>
        </is>
      </c>
      <c r="AY1288" t="inlineStr">
        <is>
          <t>2262080460002656</t>
        </is>
      </c>
      <c r="AZ1288" t="inlineStr">
        <is>
          <t>BOOK</t>
        </is>
      </c>
      <c r="BB1288" t="inlineStr">
        <is>
          <t>9780710205766</t>
        </is>
      </c>
      <c r="BC1288" t="inlineStr">
        <is>
          <t>32285000129337</t>
        </is>
      </c>
      <c r="BD1288" t="inlineStr">
        <is>
          <t>893808836</t>
        </is>
      </c>
    </row>
    <row r="1289">
      <c r="A1289" t="inlineStr">
        <is>
          <t>No</t>
        </is>
      </c>
      <c r="B1289" t="inlineStr">
        <is>
          <t>BF81 .L4 1987</t>
        </is>
      </c>
      <c r="C1289" t="inlineStr">
        <is>
          <t>0                      BF 0081000L  4           1987</t>
        </is>
      </c>
      <c r="D1289" t="inlineStr">
        <is>
          <t>A history of psychology : main currents in psychological thought / Thomas Hardy Leahey.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K1289" t="inlineStr">
        <is>
          <t>Leahey, Thomas Hardy.</t>
        </is>
      </c>
      <c r="L1289" t="inlineStr">
        <is>
          <t>Englewood Cliffs, N.J. : Prentice-Hall, c1987.</t>
        </is>
      </c>
      <c r="M1289" t="inlineStr">
        <is>
          <t>1987</t>
        </is>
      </c>
      <c r="N1289" t="inlineStr">
        <is>
          <t>2nd ed.</t>
        </is>
      </c>
      <c r="O1289" t="inlineStr">
        <is>
          <t>eng</t>
        </is>
      </c>
      <c r="P1289" t="inlineStr">
        <is>
          <t>nju</t>
        </is>
      </c>
      <c r="R1289" t="inlineStr">
        <is>
          <t xml:space="preserve">BF </t>
        </is>
      </c>
      <c r="S1289" t="n">
        <v>8</v>
      </c>
      <c r="T1289" t="n">
        <v>8</v>
      </c>
      <c r="U1289" t="inlineStr">
        <is>
          <t>2009-03-22</t>
        </is>
      </c>
      <c r="V1289" t="inlineStr">
        <is>
          <t>2009-03-22</t>
        </is>
      </c>
      <c r="W1289" t="inlineStr">
        <is>
          <t>1990-02-09</t>
        </is>
      </c>
      <c r="X1289" t="inlineStr">
        <is>
          <t>1990-02-09</t>
        </is>
      </c>
      <c r="Y1289" t="n">
        <v>340</v>
      </c>
      <c r="Z1289" t="n">
        <v>218</v>
      </c>
      <c r="AA1289" t="n">
        <v>646</v>
      </c>
      <c r="AB1289" t="n">
        <v>2</v>
      </c>
      <c r="AC1289" t="n">
        <v>5</v>
      </c>
      <c r="AD1289" t="n">
        <v>11</v>
      </c>
      <c r="AE1289" t="n">
        <v>26</v>
      </c>
      <c r="AF1289" t="n">
        <v>3</v>
      </c>
      <c r="AG1289" t="n">
        <v>11</v>
      </c>
      <c r="AH1289" t="n">
        <v>4</v>
      </c>
      <c r="AI1289" t="n">
        <v>6</v>
      </c>
      <c r="AJ1289" t="n">
        <v>5</v>
      </c>
      <c r="AK1289" t="n">
        <v>11</v>
      </c>
      <c r="AL1289" t="n">
        <v>1</v>
      </c>
      <c r="AM1289" t="n">
        <v>3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Yes</t>
        </is>
      </c>
      <c r="AR1289">
        <f>HYPERLINK("http://catalog.hathitrust.org/Record/000815405","HathiTrust Record")</f>
        <v/>
      </c>
      <c r="AS1289">
        <f>HYPERLINK("https://creighton-primo.hosted.exlibrisgroup.com/primo-explore/search?tab=default_tab&amp;search_scope=EVERYTHING&amp;vid=01CRU&amp;lang=en_US&amp;offset=0&amp;query=any,contains,991000892729702656","Catalog Record")</f>
        <v/>
      </c>
      <c r="AT1289">
        <f>HYPERLINK("http://www.worldcat.org/oclc/13945929","WorldCat Record")</f>
        <v/>
      </c>
      <c r="AU1289" t="inlineStr">
        <is>
          <t>17944:eng</t>
        </is>
      </c>
      <c r="AV1289" t="inlineStr">
        <is>
          <t>13945929</t>
        </is>
      </c>
      <c r="AW1289" t="inlineStr">
        <is>
          <t>991000892729702656</t>
        </is>
      </c>
      <c r="AX1289" t="inlineStr">
        <is>
          <t>991000892729702656</t>
        </is>
      </c>
      <c r="AY1289" t="inlineStr">
        <is>
          <t>2258857020002656</t>
        </is>
      </c>
      <c r="AZ1289" t="inlineStr">
        <is>
          <t>BOOK</t>
        </is>
      </c>
      <c r="BB1289" t="inlineStr">
        <is>
          <t>9780133917642</t>
        </is>
      </c>
      <c r="BC1289" t="inlineStr">
        <is>
          <t>32285000034909</t>
        </is>
      </c>
      <c r="BD1289" t="inlineStr">
        <is>
          <t>893808861</t>
        </is>
      </c>
    </row>
    <row r="1290">
      <c r="A1290" t="inlineStr">
        <is>
          <t>No</t>
        </is>
      </c>
      <c r="B1290" t="inlineStr">
        <is>
          <t>BF81 .L85 1979</t>
        </is>
      </c>
      <c r="C1290" t="inlineStr">
        <is>
          <t>0                      BF 0081000L  85          1979</t>
        </is>
      </c>
      <c r="D1290" t="inlineStr">
        <is>
          <t>Theories and systems of psychology / Robert W. Lundin.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K1290" t="inlineStr">
        <is>
          <t>Lundin, Robert W. (Robert William), 1920-2007.</t>
        </is>
      </c>
      <c r="L1290" t="inlineStr">
        <is>
          <t>Lexington, Mass. : Heath, c1979.</t>
        </is>
      </c>
      <c r="M1290" t="inlineStr">
        <is>
          <t>1979</t>
        </is>
      </c>
      <c r="N1290" t="inlineStr">
        <is>
          <t>2d ed.</t>
        </is>
      </c>
      <c r="O1290" t="inlineStr">
        <is>
          <t>eng</t>
        </is>
      </c>
      <c r="P1290" t="inlineStr">
        <is>
          <t>mau</t>
        </is>
      </c>
      <c r="R1290" t="inlineStr">
        <is>
          <t xml:space="preserve">BF </t>
        </is>
      </c>
      <c r="S1290" t="n">
        <v>10</v>
      </c>
      <c r="T1290" t="n">
        <v>10</v>
      </c>
      <c r="U1290" t="inlineStr">
        <is>
          <t>2008-07-10</t>
        </is>
      </c>
      <c r="V1290" t="inlineStr">
        <is>
          <t>2008-07-10</t>
        </is>
      </c>
      <c r="W1290" t="inlineStr">
        <is>
          <t>1990-02-09</t>
        </is>
      </c>
      <c r="X1290" t="inlineStr">
        <is>
          <t>1990-02-09</t>
        </is>
      </c>
      <c r="Y1290" t="n">
        <v>187</v>
      </c>
      <c r="Z1290" t="n">
        <v>126</v>
      </c>
      <c r="AA1290" t="n">
        <v>447</v>
      </c>
      <c r="AB1290" t="n">
        <v>1</v>
      </c>
      <c r="AC1290" t="n">
        <v>1</v>
      </c>
      <c r="AD1290" t="n">
        <v>2</v>
      </c>
      <c r="AE1290" t="n">
        <v>15</v>
      </c>
      <c r="AF1290" t="n">
        <v>1</v>
      </c>
      <c r="AG1290" t="n">
        <v>5</v>
      </c>
      <c r="AH1290" t="n">
        <v>0</v>
      </c>
      <c r="AI1290" t="n">
        <v>4</v>
      </c>
      <c r="AJ1290" t="n">
        <v>1</v>
      </c>
      <c r="AK1290" t="n">
        <v>9</v>
      </c>
      <c r="AL1290" t="n">
        <v>0</v>
      </c>
      <c r="AM1290" t="n">
        <v>0</v>
      </c>
      <c r="AN1290" t="n">
        <v>0</v>
      </c>
      <c r="AO1290" t="n">
        <v>0</v>
      </c>
      <c r="AP1290" t="inlineStr">
        <is>
          <t>No</t>
        </is>
      </c>
      <c r="AQ1290" t="inlineStr">
        <is>
          <t>No</t>
        </is>
      </c>
      <c r="AS1290">
        <f>HYPERLINK("https://creighton-primo.hosted.exlibrisgroup.com/primo-explore/search?tab=default_tab&amp;search_scope=EVERYTHING&amp;vid=01CRU&amp;lang=en_US&amp;offset=0&amp;query=any,contains,991004779999702656","Catalog Record")</f>
        <v/>
      </c>
      <c r="AT1290">
        <f>HYPERLINK("http://www.worldcat.org/oclc/5103200","WorldCat Record")</f>
        <v/>
      </c>
      <c r="AU1290" t="inlineStr">
        <is>
          <t>864893473:eng</t>
        </is>
      </c>
      <c r="AV1290" t="inlineStr">
        <is>
          <t>5103200</t>
        </is>
      </c>
      <c r="AW1290" t="inlineStr">
        <is>
          <t>991004779999702656</t>
        </is>
      </c>
      <c r="AX1290" t="inlineStr">
        <is>
          <t>991004779999702656</t>
        </is>
      </c>
      <c r="AY1290" t="inlineStr">
        <is>
          <t>2270614390002656</t>
        </is>
      </c>
      <c r="AZ1290" t="inlineStr">
        <is>
          <t>BOOK</t>
        </is>
      </c>
      <c r="BB1290" t="inlineStr">
        <is>
          <t>9780669019155</t>
        </is>
      </c>
      <c r="BC1290" t="inlineStr">
        <is>
          <t>32285000034917</t>
        </is>
      </c>
      <c r="BD1290" t="inlineStr">
        <is>
          <t>893241833</t>
        </is>
      </c>
    </row>
    <row r="1291">
      <c r="A1291" t="inlineStr">
        <is>
          <t>No</t>
        </is>
      </c>
      <c r="B1291" t="inlineStr">
        <is>
          <t>BF81 .S24</t>
        </is>
      </c>
      <c r="C1291" t="inlineStr">
        <is>
          <t>0                      BF 0081000S  24</t>
        </is>
      </c>
      <c r="D1291" t="inlineStr">
        <is>
          <t>History of psychology : a source book in systematic psychology / edited by William S. Sahakian.</t>
        </is>
      </c>
      <c r="F1291" t="inlineStr">
        <is>
          <t>No</t>
        </is>
      </c>
      <c r="G1291" t="inlineStr">
        <is>
          <t>1</t>
        </is>
      </c>
      <c r="H1291" t="inlineStr">
        <is>
          <t>No</t>
        </is>
      </c>
      <c r="I1291" t="inlineStr">
        <is>
          <t>No</t>
        </is>
      </c>
      <c r="J1291" t="inlineStr">
        <is>
          <t>0</t>
        </is>
      </c>
      <c r="K1291" t="inlineStr">
        <is>
          <t>Sahakian, William S., compiler.</t>
        </is>
      </c>
      <c r="L1291" t="inlineStr">
        <is>
          <t>Itasca, Ill. : F. E. Peacock Publishers, [1968]</t>
        </is>
      </c>
      <c r="M1291" t="inlineStr">
        <is>
          <t>1968</t>
        </is>
      </c>
      <c r="O1291" t="inlineStr">
        <is>
          <t>eng</t>
        </is>
      </c>
      <c r="P1291" t="inlineStr">
        <is>
          <t>ilu</t>
        </is>
      </c>
      <c r="R1291" t="inlineStr">
        <is>
          <t xml:space="preserve">BF </t>
        </is>
      </c>
      <c r="S1291" t="n">
        <v>3</v>
      </c>
      <c r="T1291" t="n">
        <v>3</v>
      </c>
      <c r="U1291" t="inlineStr">
        <is>
          <t>2006-11-21</t>
        </is>
      </c>
      <c r="V1291" t="inlineStr">
        <is>
          <t>2006-11-21</t>
        </is>
      </c>
      <c r="W1291" t="inlineStr">
        <is>
          <t>1993-02-11</t>
        </is>
      </c>
      <c r="X1291" t="inlineStr">
        <is>
          <t>1993-02-11</t>
        </is>
      </c>
      <c r="Y1291" t="n">
        <v>682</v>
      </c>
      <c r="Z1291" t="n">
        <v>600</v>
      </c>
      <c r="AA1291" t="n">
        <v>676</v>
      </c>
      <c r="AB1291" t="n">
        <v>5</v>
      </c>
      <c r="AC1291" t="n">
        <v>6</v>
      </c>
      <c r="AD1291" t="n">
        <v>34</v>
      </c>
      <c r="AE1291" t="n">
        <v>37</v>
      </c>
      <c r="AF1291" t="n">
        <v>14</v>
      </c>
      <c r="AG1291" t="n">
        <v>16</v>
      </c>
      <c r="AH1291" t="n">
        <v>7</v>
      </c>
      <c r="AI1291" t="n">
        <v>7</v>
      </c>
      <c r="AJ1291" t="n">
        <v>17</v>
      </c>
      <c r="AK1291" t="n">
        <v>19</v>
      </c>
      <c r="AL1291" t="n">
        <v>4</v>
      </c>
      <c r="AM1291" t="n">
        <v>5</v>
      </c>
      <c r="AN1291" t="n">
        <v>0</v>
      </c>
      <c r="AO1291" t="n">
        <v>0</v>
      </c>
      <c r="AP1291" t="inlineStr">
        <is>
          <t>No</t>
        </is>
      </c>
      <c r="AQ1291" t="inlineStr">
        <is>
          <t>Yes</t>
        </is>
      </c>
      <c r="AR1291">
        <f>HYPERLINK("http://catalog.hathitrust.org/Record/000581781","HathiTrust Record")</f>
        <v/>
      </c>
      <c r="AS1291">
        <f>HYPERLINK("https://creighton-primo.hosted.exlibrisgroup.com/primo-explore/search?tab=default_tab&amp;search_scope=EVERYTHING&amp;vid=01CRU&amp;lang=en_US&amp;offset=0&amp;query=any,contains,991001094049702656","Catalog Record")</f>
        <v/>
      </c>
      <c r="AT1291">
        <f>HYPERLINK("http://www.worldcat.org/oclc/182291","WorldCat Record")</f>
        <v/>
      </c>
      <c r="AU1291" t="inlineStr">
        <is>
          <t>654362:eng</t>
        </is>
      </c>
      <c r="AV1291" t="inlineStr">
        <is>
          <t>182291</t>
        </is>
      </c>
      <c r="AW1291" t="inlineStr">
        <is>
          <t>991001094049702656</t>
        </is>
      </c>
      <c r="AX1291" t="inlineStr">
        <is>
          <t>991001094049702656</t>
        </is>
      </c>
      <c r="AY1291" t="inlineStr">
        <is>
          <t>2271509290002656</t>
        </is>
      </c>
      <c r="AZ1291" t="inlineStr">
        <is>
          <t>BOOK</t>
        </is>
      </c>
      <c r="BC1291" t="inlineStr">
        <is>
          <t>32285001500791</t>
        </is>
      </c>
      <c r="BD1291" t="inlineStr">
        <is>
          <t>893243854</t>
        </is>
      </c>
    </row>
    <row r="1292">
      <c r="A1292" t="inlineStr">
        <is>
          <t>No</t>
        </is>
      </c>
      <c r="B1292" t="inlineStr">
        <is>
          <t>BF81 .W35 1977</t>
        </is>
      </c>
      <c r="C1292" t="inlineStr">
        <is>
          <t>0                      BF 0081000W  35          1977</t>
        </is>
      </c>
      <c r="D1292" t="inlineStr">
        <is>
          <t>The great psychologists / Robert I. Watson, Sr.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K1292" t="inlineStr">
        <is>
          <t>Watson, Robert I. (Robert Irving), 1909-1980.</t>
        </is>
      </c>
      <c r="L1292" t="inlineStr">
        <is>
          <t>Philadelphia : Lippincott, 1977, c1978.</t>
        </is>
      </c>
      <c r="M1292" t="inlineStr">
        <is>
          <t>1978</t>
        </is>
      </c>
      <c r="N1292" t="inlineStr">
        <is>
          <t>4th ed.</t>
        </is>
      </c>
      <c r="O1292" t="inlineStr">
        <is>
          <t>eng</t>
        </is>
      </c>
      <c r="P1292" t="inlineStr">
        <is>
          <t>pau</t>
        </is>
      </c>
      <c r="R1292" t="inlineStr">
        <is>
          <t xml:space="preserve">BF </t>
        </is>
      </c>
      <c r="S1292" t="n">
        <v>15</v>
      </c>
      <c r="T1292" t="n">
        <v>15</v>
      </c>
      <c r="U1292" t="inlineStr">
        <is>
          <t>2009-02-23</t>
        </is>
      </c>
      <c r="V1292" t="inlineStr">
        <is>
          <t>2009-02-23</t>
        </is>
      </c>
      <c r="W1292" t="inlineStr">
        <is>
          <t>1990-02-22</t>
        </is>
      </c>
      <c r="X1292" t="inlineStr">
        <is>
          <t>1990-02-22</t>
        </is>
      </c>
      <c r="Y1292" t="n">
        <v>602</v>
      </c>
      <c r="Z1292" t="n">
        <v>522</v>
      </c>
      <c r="AA1292" t="n">
        <v>921</v>
      </c>
      <c r="AB1292" t="n">
        <v>3</v>
      </c>
      <c r="AC1292" t="n">
        <v>6</v>
      </c>
      <c r="AD1292" t="n">
        <v>18</v>
      </c>
      <c r="AE1292" t="n">
        <v>28</v>
      </c>
      <c r="AF1292" t="n">
        <v>7</v>
      </c>
      <c r="AG1292" t="n">
        <v>13</v>
      </c>
      <c r="AH1292" t="n">
        <v>3</v>
      </c>
      <c r="AI1292" t="n">
        <v>3</v>
      </c>
      <c r="AJ1292" t="n">
        <v>10</v>
      </c>
      <c r="AK1292" t="n">
        <v>15</v>
      </c>
      <c r="AL1292" t="n">
        <v>2</v>
      </c>
      <c r="AM1292" t="n">
        <v>4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No</t>
        </is>
      </c>
      <c r="AS1292">
        <f>HYPERLINK("https://creighton-primo.hosted.exlibrisgroup.com/primo-explore/search?tab=default_tab&amp;search_scope=EVERYTHING&amp;vid=01CRU&amp;lang=en_US&amp;offset=0&amp;query=any,contains,991004399099702656","Catalog Record")</f>
        <v/>
      </c>
      <c r="AT1292">
        <f>HYPERLINK("http://www.worldcat.org/oclc/3293146","WorldCat Record")</f>
        <v/>
      </c>
      <c r="AU1292" t="inlineStr">
        <is>
          <t>2260901886:eng</t>
        </is>
      </c>
      <c r="AV1292" t="inlineStr">
        <is>
          <t>3293146</t>
        </is>
      </c>
      <c r="AW1292" t="inlineStr">
        <is>
          <t>991004399099702656</t>
        </is>
      </c>
      <c r="AX1292" t="inlineStr">
        <is>
          <t>991004399099702656</t>
        </is>
      </c>
      <c r="AY1292" t="inlineStr">
        <is>
          <t>2269048960002656</t>
        </is>
      </c>
      <c r="AZ1292" t="inlineStr">
        <is>
          <t>BOOK</t>
        </is>
      </c>
      <c r="BB1292" t="inlineStr">
        <is>
          <t>9780397473755</t>
        </is>
      </c>
      <c r="BC1292" t="inlineStr">
        <is>
          <t>32285000060011</t>
        </is>
      </c>
      <c r="BD1292" t="inlineStr">
        <is>
          <t>893618622</t>
        </is>
      </c>
    </row>
    <row r="1293">
      <c r="A1293" t="inlineStr">
        <is>
          <t>No</t>
        </is>
      </c>
      <c r="B1293" t="inlineStr">
        <is>
          <t>BF818 .R5</t>
        </is>
      </c>
      <c r="C1293" t="inlineStr">
        <is>
          <t>0                      BF 0818000R  5</t>
        </is>
      </c>
      <c r="D1293" t="inlineStr">
        <is>
          <t>Faces in the crowd : individual studies in character and politics / by David Riesman in collaboration with Nathan Glazer.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Riesman, David, 1909-2002.</t>
        </is>
      </c>
      <c r="L1293" t="inlineStr">
        <is>
          <t>New Haven : Yale University Press, 1952.</t>
        </is>
      </c>
      <c r="M1293" t="inlineStr">
        <is>
          <t>1952</t>
        </is>
      </c>
      <c r="O1293" t="inlineStr">
        <is>
          <t>eng</t>
        </is>
      </c>
      <c r="P1293" t="inlineStr">
        <is>
          <t>ctu</t>
        </is>
      </c>
      <c r="Q1293" t="inlineStr">
        <is>
          <t>Studies in national policy ; 4</t>
        </is>
      </c>
      <c r="R1293" t="inlineStr">
        <is>
          <t xml:space="preserve">BF </t>
        </is>
      </c>
      <c r="S1293" t="n">
        <v>3</v>
      </c>
      <c r="T1293" t="n">
        <v>3</v>
      </c>
      <c r="U1293" t="inlineStr">
        <is>
          <t>2009-10-29</t>
        </is>
      </c>
      <c r="V1293" t="inlineStr">
        <is>
          <t>2009-10-29</t>
        </is>
      </c>
      <c r="W1293" t="inlineStr">
        <is>
          <t>1990-10-01</t>
        </is>
      </c>
      <c r="X1293" t="inlineStr">
        <is>
          <t>1990-10-01</t>
        </is>
      </c>
      <c r="Y1293" t="n">
        <v>1075</v>
      </c>
      <c r="Z1293" t="n">
        <v>964</v>
      </c>
      <c r="AA1293" t="n">
        <v>1072</v>
      </c>
      <c r="AB1293" t="n">
        <v>8</v>
      </c>
      <c r="AC1293" t="n">
        <v>9</v>
      </c>
      <c r="AD1293" t="n">
        <v>39</v>
      </c>
      <c r="AE1293" t="n">
        <v>47</v>
      </c>
      <c r="AF1293" t="n">
        <v>15</v>
      </c>
      <c r="AG1293" t="n">
        <v>18</v>
      </c>
      <c r="AH1293" t="n">
        <v>7</v>
      </c>
      <c r="AI1293" t="n">
        <v>8</v>
      </c>
      <c r="AJ1293" t="n">
        <v>16</v>
      </c>
      <c r="AK1293" t="n">
        <v>20</v>
      </c>
      <c r="AL1293" t="n">
        <v>7</v>
      </c>
      <c r="AM1293" t="n">
        <v>8</v>
      </c>
      <c r="AN1293" t="n">
        <v>1</v>
      </c>
      <c r="AO1293" t="n">
        <v>3</v>
      </c>
      <c r="AP1293" t="inlineStr">
        <is>
          <t>No</t>
        </is>
      </c>
      <c r="AQ1293" t="inlineStr">
        <is>
          <t>No</t>
        </is>
      </c>
      <c r="AR1293">
        <f>HYPERLINK("http://catalog.hathitrust.org/Record/000472856","HathiTrust Record")</f>
        <v/>
      </c>
      <c r="AS1293">
        <f>HYPERLINK("https://creighton-primo.hosted.exlibrisgroup.com/primo-explore/search?tab=default_tab&amp;search_scope=EVERYTHING&amp;vid=01CRU&amp;lang=en_US&amp;offset=0&amp;query=any,contains,991003514849702656","Catalog Record")</f>
        <v/>
      </c>
      <c r="AT1293">
        <f>HYPERLINK("http://www.worldcat.org/oclc/1071592","WorldCat Record")</f>
        <v/>
      </c>
      <c r="AU1293" t="inlineStr">
        <is>
          <t>199061282:eng</t>
        </is>
      </c>
      <c r="AV1293" t="inlineStr">
        <is>
          <t>1071592</t>
        </is>
      </c>
      <c r="AW1293" t="inlineStr">
        <is>
          <t>991003514849702656</t>
        </is>
      </c>
      <c r="AX1293" t="inlineStr">
        <is>
          <t>991003514849702656</t>
        </is>
      </c>
      <c r="AY1293" t="inlineStr">
        <is>
          <t>2256760940002656</t>
        </is>
      </c>
      <c r="AZ1293" t="inlineStr">
        <is>
          <t>BOOK</t>
        </is>
      </c>
      <c r="BC1293" t="inlineStr">
        <is>
          <t>32285000323013</t>
        </is>
      </c>
      <c r="BD1293" t="inlineStr">
        <is>
          <t>893805852</t>
        </is>
      </c>
    </row>
    <row r="1294">
      <c r="A1294" t="inlineStr">
        <is>
          <t>No</t>
        </is>
      </c>
      <c r="B1294" t="inlineStr">
        <is>
          <t>BF831 .A4</t>
        </is>
      </c>
      <c r="C1294" t="inlineStr">
        <is>
          <t>0                      BF 0831000A  4</t>
        </is>
      </c>
      <c r="D1294" t="inlineStr">
        <is>
          <t>Understanding human nature, by Alfred Adler. Translated by Walter Béran Wolfe.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Yes</t>
        </is>
      </c>
      <c r="J1294" t="inlineStr">
        <is>
          <t>0</t>
        </is>
      </c>
      <c r="K1294" t="inlineStr">
        <is>
          <t>Adler, Alfred, 1870-1937.</t>
        </is>
      </c>
      <c r="L1294" t="inlineStr">
        <is>
          <t>New York, Greenberg [c1927]</t>
        </is>
      </c>
      <c r="M1294" t="inlineStr">
        <is>
          <t>1927</t>
        </is>
      </c>
      <c r="O1294" t="inlineStr">
        <is>
          <t>eng</t>
        </is>
      </c>
      <c r="P1294" t="inlineStr">
        <is>
          <t>nyu</t>
        </is>
      </c>
      <c r="R1294" t="inlineStr">
        <is>
          <t xml:space="preserve">BF </t>
        </is>
      </c>
      <c r="S1294" t="n">
        <v>5</v>
      </c>
      <c r="T1294" t="n">
        <v>5</v>
      </c>
      <c r="U1294" t="inlineStr">
        <is>
          <t>2007-08-21</t>
        </is>
      </c>
      <c r="V1294" t="inlineStr">
        <is>
          <t>2007-08-21</t>
        </is>
      </c>
      <c r="W1294" t="inlineStr">
        <is>
          <t>1996-08-07</t>
        </is>
      </c>
      <c r="X1294" t="inlineStr">
        <is>
          <t>1996-08-07</t>
        </is>
      </c>
      <c r="Y1294" t="n">
        <v>474</v>
      </c>
      <c r="Z1294" t="n">
        <v>437</v>
      </c>
      <c r="AA1294" t="n">
        <v>1753</v>
      </c>
      <c r="AB1294" t="n">
        <v>4</v>
      </c>
      <c r="AC1294" t="n">
        <v>15</v>
      </c>
      <c r="AD1294" t="n">
        <v>20</v>
      </c>
      <c r="AE1294" t="n">
        <v>58</v>
      </c>
      <c r="AF1294" t="n">
        <v>8</v>
      </c>
      <c r="AG1294" t="n">
        <v>27</v>
      </c>
      <c r="AH1294" t="n">
        <v>5</v>
      </c>
      <c r="AI1294" t="n">
        <v>10</v>
      </c>
      <c r="AJ1294" t="n">
        <v>10</v>
      </c>
      <c r="AK1294" t="n">
        <v>23</v>
      </c>
      <c r="AL1294" t="n">
        <v>3</v>
      </c>
      <c r="AM1294" t="n">
        <v>9</v>
      </c>
      <c r="AN1294" t="n">
        <v>0</v>
      </c>
      <c r="AO1294" t="n">
        <v>1</v>
      </c>
      <c r="AP1294" t="inlineStr">
        <is>
          <t>No</t>
        </is>
      </c>
      <c r="AQ1294" t="inlineStr">
        <is>
          <t>No</t>
        </is>
      </c>
      <c r="AS1294">
        <f>HYPERLINK("https://creighton-primo.hosted.exlibrisgroup.com/primo-explore/search?tab=default_tab&amp;search_scope=EVERYTHING&amp;vid=01CRU&amp;lang=en_US&amp;offset=0&amp;query=any,contains,991003392349702656","Catalog Record")</f>
        <v/>
      </c>
      <c r="AT1294">
        <f>HYPERLINK("http://www.worldcat.org/oclc/930746","WorldCat Record")</f>
        <v/>
      </c>
      <c r="AU1294" t="inlineStr">
        <is>
          <t>2607443599:eng</t>
        </is>
      </c>
      <c r="AV1294" t="inlineStr">
        <is>
          <t>930746</t>
        </is>
      </c>
      <c r="AW1294" t="inlineStr">
        <is>
          <t>991003392349702656</t>
        </is>
      </c>
      <c r="AX1294" t="inlineStr">
        <is>
          <t>991003392349702656</t>
        </is>
      </c>
      <c r="AY1294" t="inlineStr">
        <is>
          <t>2269668670002656</t>
        </is>
      </c>
      <c r="AZ1294" t="inlineStr">
        <is>
          <t>BOOK</t>
        </is>
      </c>
      <c r="BC1294" t="inlineStr">
        <is>
          <t>32285002257730</t>
        </is>
      </c>
      <c r="BD1294" t="inlineStr">
        <is>
          <t>893611004</t>
        </is>
      </c>
    </row>
    <row r="1295">
      <c r="A1295" t="inlineStr">
        <is>
          <t>No</t>
        </is>
      </c>
      <c r="B1295" t="inlineStr">
        <is>
          <t>BF868 .D3 1971</t>
        </is>
      </c>
      <c r="C1295" t="inlineStr">
        <is>
          <t>0                      BF 0868000D  3           1971</t>
        </is>
      </c>
      <c r="D1295" t="inlineStr">
        <is>
          <t>Phrenology, fad and science : a 19th-century American crusade / by John D. Davies.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Davies, John (John Dunn), 1918-1994.</t>
        </is>
      </c>
      <c r="L1295" t="inlineStr">
        <is>
          <t>[Hamden, Conn.] : Archon Books, 1971 [c1955]</t>
        </is>
      </c>
      <c r="M1295" t="inlineStr">
        <is>
          <t>1971</t>
        </is>
      </c>
      <c r="O1295" t="inlineStr">
        <is>
          <t>eng</t>
        </is>
      </c>
      <c r="P1295" t="inlineStr">
        <is>
          <t>ctu</t>
        </is>
      </c>
      <c r="R1295" t="inlineStr">
        <is>
          <t xml:space="preserve">BF </t>
        </is>
      </c>
      <c r="S1295" t="n">
        <v>3</v>
      </c>
      <c r="T1295" t="n">
        <v>3</v>
      </c>
      <c r="U1295" t="inlineStr">
        <is>
          <t>2009-03-19</t>
        </is>
      </c>
      <c r="V1295" t="inlineStr">
        <is>
          <t>2009-03-19</t>
        </is>
      </c>
      <c r="W1295" t="inlineStr">
        <is>
          <t>1990-02-08</t>
        </is>
      </c>
      <c r="X1295" t="inlineStr">
        <is>
          <t>1990-02-08</t>
        </is>
      </c>
      <c r="Y1295" t="n">
        <v>237</v>
      </c>
      <c r="Z1295" t="n">
        <v>205</v>
      </c>
      <c r="AA1295" t="n">
        <v>492</v>
      </c>
      <c r="AB1295" t="n">
        <v>3</v>
      </c>
      <c r="AC1295" t="n">
        <v>3</v>
      </c>
      <c r="AD1295" t="n">
        <v>9</v>
      </c>
      <c r="AE1295" t="n">
        <v>20</v>
      </c>
      <c r="AF1295" t="n">
        <v>1</v>
      </c>
      <c r="AG1295" t="n">
        <v>7</v>
      </c>
      <c r="AH1295" t="n">
        <v>2</v>
      </c>
      <c r="AI1295" t="n">
        <v>5</v>
      </c>
      <c r="AJ1295" t="n">
        <v>7</v>
      </c>
      <c r="AK1295" t="n">
        <v>13</v>
      </c>
      <c r="AL1295" t="n">
        <v>2</v>
      </c>
      <c r="AM1295" t="n">
        <v>2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HYPERLINK("https://creighton-primo.hosted.exlibrisgroup.com/primo-explore/search?tab=default_tab&amp;search_scope=EVERYTHING&amp;vid=01CRU&amp;lang=en_US&amp;offset=0&amp;query=any,contains,991000772369702656","Catalog Record")</f>
        <v/>
      </c>
      <c r="AT1295">
        <f>HYPERLINK("http://www.worldcat.org/oclc/131395","WorldCat Record")</f>
        <v/>
      </c>
      <c r="AU1295" t="inlineStr">
        <is>
          <t>60406123:eng</t>
        </is>
      </c>
      <c r="AV1295" t="inlineStr">
        <is>
          <t>131395</t>
        </is>
      </c>
      <c r="AW1295" t="inlineStr">
        <is>
          <t>991000772369702656</t>
        </is>
      </c>
      <c r="AX1295" t="inlineStr">
        <is>
          <t>991000772369702656</t>
        </is>
      </c>
      <c r="AY1295" t="inlineStr">
        <is>
          <t>2255168440002656</t>
        </is>
      </c>
      <c r="AZ1295" t="inlineStr">
        <is>
          <t>BOOK</t>
        </is>
      </c>
      <c r="BB1295" t="inlineStr">
        <is>
          <t>9780208009524</t>
        </is>
      </c>
      <c r="BC1295" t="inlineStr">
        <is>
          <t>32285000040666</t>
        </is>
      </c>
      <c r="BD1295" t="inlineStr">
        <is>
          <t>893790833</t>
        </is>
      </c>
    </row>
    <row r="1296">
      <c r="A1296" t="inlineStr">
        <is>
          <t>No</t>
        </is>
      </c>
      <c r="B1296" t="inlineStr">
        <is>
          <t>BF891 .B833</t>
        </is>
      </c>
      <c r="C1296" t="inlineStr">
        <is>
          <t>0                      BF 0891000B  833</t>
        </is>
      </c>
      <c r="D1296" t="inlineStr">
        <is>
          <t>Handwriting analysis : the art and science of reading character by grapho analysis.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K1296" t="inlineStr">
        <is>
          <t>Bunker, M. N. (Milton Newman), 1892-</t>
        </is>
      </c>
      <c r="L1296" t="inlineStr">
        <is>
          <t>Chicago : Nelson-Hall, [1959]</t>
        </is>
      </c>
      <c r="M1296" t="inlineStr">
        <is>
          <t>1959</t>
        </is>
      </c>
      <c r="O1296" t="inlineStr">
        <is>
          <t>eng</t>
        </is>
      </c>
      <c r="P1296" t="inlineStr">
        <is>
          <t>ilu</t>
        </is>
      </c>
      <c r="R1296" t="inlineStr">
        <is>
          <t xml:space="preserve">BF </t>
        </is>
      </c>
      <c r="S1296" t="n">
        <v>24</v>
      </c>
      <c r="T1296" t="n">
        <v>24</v>
      </c>
      <c r="U1296" t="inlineStr">
        <is>
          <t>2006-10-05</t>
        </is>
      </c>
      <c r="V1296" t="inlineStr">
        <is>
          <t>2006-10-05</t>
        </is>
      </c>
      <c r="W1296" t="inlineStr">
        <is>
          <t>1992-01-29</t>
        </is>
      </c>
      <c r="X1296" t="inlineStr">
        <is>
          <t>1992-01-29</t>
        </is>
      </c>
      <c r="Y1296" t="n">
        <v>300</v>
      </c>
      <c r="Z1296" t="n">
        <v>295</v>
      </c>
      <c r="AA1296" t="n">
        <v>309</v>
      </c>
      <c r="AB1296" t="n">
        <v>3</v>
      </c>
      <c r="AC1296" t="n">
        <v>3</v>
      </c>
      <c r="AD1296" t="n">
        <v>8</v>
      </c>
      <c r="AE1296" t="n">
        <v>8</v>
      </c>
      <c r="AF1296" t="n">
        <v>3</v>
      </c>
      <c r="AG1296" t="n">
        <v>3</v>
      </c>
      <c r="AH1296" t="n">
        <v>3</v>
      </c>
      <c r="AI1296" t="n">
        <v>3</v>
      </c>
      <c r="AJ1296" t="n">
        <v>3</v>
      </c>
      <c r="AK1296" t="n">
        <v>3</v>
      </c>
      <c r="AL1296" t="n">
        <v>1</v>
      </c>
      <c r="AM1296" t="n">
        <v>1</v>
      </c>
      <c r="AN1296" t="n">
        <v>0</v>
      </c>
      <c r="AO1296" t="n">
        <v>0</v>
      </c>
      <c r="AP1296" t="inlineStr">
        <is>
          <t>No</t>
        </is>
      </c>
      <c r="AQ1296" t="inlineStr">
        <is>
          <t>Yes</t>
        </is>
      </c>
      <c r="AR1296">
        <f>HYPERLINK("http://catalog.hathitrust.org/Record/100924950","HathiTrust Record")</f>
        <v/>
      </c>
      <c r="AS1296">
        <f>HYPERLINK("https://creighton-primo.hosted.exlibrisgroup.com/primo-explore/search?tab=default_tab&amp;search_scope=EVERYTHING&amp;vid=01CRU&amp;lang=en_US&amp;offset=0&amp;query=any,contains,991005253839702656","Catalog Record")</f>
        <v/>
      </c>
      <c r="AT1296">
        <f>HYPERLINK("http://www.worldcat.org/oclc/1065338","WorldCat Record")</f>
        <v/>
      </c>
      <c r="AU1296" t="inlineStr">
        <is>
          <t>3768476965:eng</t>
        </is>
      </c>
      <c r="AV1296" t="inlineStr">
        <is>
          <t>1065338</t>
        </is>
      </c>
      <c r="AW1296" t="inlineStr">
        <is>
          <t>991005253839702656</t>
        </is>
      </c>
      <c r="AX1296" t="inlineStr">
        <is>
          <t>991005253839702656</t>
        </is>
      </c>
      <c r="AY1296" t="inlineStr">
        <is>
          <t>2270481200002656</t>
        </is>
      </c>
      <c r="AZ1296" t="inlineStr">
        <is>
          <t>BOOK</t>
        </is>
      </c>
      <c r="BC1296" t="inlineStr">
        <is>
          <t>32285000941400</t>
        </is>
      </c>
      <c r="BD1296" t="inlineStr">
        <is>
          <t>893902373</t>
        </is>
      </c>
    </row>
    <row r="1297">
      <c r="A1297" t="inlineStr">
        <is>
          <t>No</t>
        </is>
      </c>
      <c r="B1297" t="inlineStr">
        <is>
          <t>BF891 .H814</t>
        </is>
      </c>
      <c r="C1297" t="inlineStr">
        <is>
          <t>0                      BF 0891000H  814</t>
        </is>
      </c>
      <c r="D1297" t="inlineStr">
        <is>
          <t>Handwriting in psychological interpretations / by Arthur G. Holt.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K1297" t="inlineStr">
        <is>
          <t>Holt, Arthur G.</t>
        </is>
      </c>
      <c r="L1297" t="inlineStr">
        <is>
          <t>Springfield, Ill. : Thomas, [1965]</t>
        </is>
      </c>
      <c r="M1297" t="inlineStr">
        <is>
          <t>1965</t>
        </is>
      </c>
      <c r="O1297" t="inlineStr">
        <is>
          <t>eng</t>
        </is>
      </c>
      <c r="P1297" t="inlineStr">
        <is>
          <t>ilu</t>
        </is>
      </c>
      <c r="R1297" t="inlineStr">
        <is>
          <t xml:space="preserve">BF </t>
        </is>
      </c>
      <c r="S1297" t="n">
        <v>27</v>
      </c>
      <c r="T1297" t="n">
        <v>27</v>
      </c>
      <c r="U1297" t="inlineStr">
        <is>
          <t>2006-09-26</t>
        </is>
      </c>
      <c r="V1297" t="inlineStr">
        <is>
          <t>2006-09-26</t>
        </is>
      </c>
      <c r="W1297" t="inlineStr">
        <is>
          <t>1990-04-25</t>
        </is>
      </c>
      <c r="X1297" t="inlineStr">
        <is>
          <t>1990-04-25</t>
        </is>
      </c>
      <c r="Y1297" t="n">
        <v>269</v>
      </c>
      <c r="Z1297" t="n">
        <v>239</v>
      </c>
      <c r="AA1297" t="n">
        <v>247</v>
      </c>
      <c r="AB1297" t="n">
        <v>2</v>
      </c>
      <c r="AC1297" t="n">
        <v>2</v>
      </c>
      <c r="AD1297" t="n">
        <v>5</v>
      </c>
      <c r="AE1297" t="n">
        <v>5</v>
      </c>
      <c r="AF1297" t="n">
        <v>1</v>
      </c>
      <c r="AG1297" t="n">
        <v>1</v>
      </c>
      <c r="AH1297" t="n">
        <v>1</v>
      </c>
      <c r="AI1297" t="n">
        <v>1</v>
      </c>
      <c r="AJ1297" t="n">
        <v>2</v>
      </c>
      <c r="AK1297" t="n">
        <v>2</v>
      </c>
      <c r="AL1297" t="n">
        <v>1</v>
      </c>
      <c r="AM1297" t="n">
        <v>1</v>
      </c>
      <c r="AN1297" t="n">
        <v>1</v>
      </c>
      <c r="AO1297" t="n">
        <v>1</v>
      </c>
      <c r="AP1297" t="inlineStr">
        <is>
          <t>No</t>
        </is>
      </c>
      <c r="AQ1297" t="inlineStr">
        <is>
          <t>Yes</t>
        </is>
      </c>
      <c r="AR1297">
        <f>HYPERLINK("http://catalog.hathitrust.org/Record/000473913","HathiTrust Record")</f>
        <v/>
      </c>
      <c r="AS1297">
        <f>HYPERLINK("https://creighton-primo.hosted.exlibrisgroup.com/primo-explore/search?tab=default_tab&amp;search_scope=EVERYTHING&amp;vid=01CRU&amp;lang=en_US&amp;offset=0&amp;query=any,contains,991001290919702656","Catalog Record")</f>
        <v/>
      </c>
      <c r="AT1297">
        <f>HYPERLINK("http://www.worldcat.org/oclc/218028","WorldCat Record")</f>
        <v/>
      </c>
      <c r="AU1297" t="inlineStr">
        <is>
          <t>573790:eng</t>
        </is>
      </c>
      <c r="AV1297" t="inlineStr">
        <is>
          <t>218028</t>
        </is>
      </c>
      <c r="AW1297" t="inlineStr">
        <is>
          <t>991001290919702656</t>
        </is>
      </c>
      <c r="AX1297" t="inlineStr">
        <is>
          <t>991001290919702656</t>
        </is>
      </c>
      <c r="AY1297" t="inlineStr">
        <is>
          <t>2258671140002656</t>
        </is>
      </c>
      <c r="AZ1297" t="inlineStr">
        <is>
          <t>BOOK</t>
        </is>
      </c>
      <c r="BC1297" t="inlineStr">
        <is>
          <t>32285000131648</t>
        </is>
      </c>
      <c r="BD1297" t="inlineStr">
        <is>
          <t>893496984</t>
        </is>
      </c>
    </row>
    <row r="1298">
      <c r="A1298" t="inlineStr">
        <is>
          <t>No</t>
        </is>
      </c>
      <c r="B1298" t="inlineStr">
        <is>
          <t>BF891 .M25 1989</t>
        </is>
      </c>
      <c r="C1298" t="inlineStr">
        <is>
          <t>0                      BF 0891000M  25          1989</t>
        </is>
      </c>
      <c r="D1298" t="inlineStr">
        <is>
          <t>Handwriting and personality : how graphology reveals what makes people tick / Ann Mahony.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K1298" t="inlineStr">
        <is>
          <t>Mahony, Ann.</t>
        </is>
      </c>
      <c r="L1298" t="inlineStr">
        <is>
          <t>New York : Holt, c1989.</t>
        </is>
      </c>
      <c r="M1298" t="inlineStr">
        <is>
          <t>1989</t>
        </is>
      </c>
      <c r="N1298" t="inlineStr">
        <is>
          <t>1st ed.</t>
        </is>
      </c>
      <c r="O1298" t="inlineStr">
        <is>
          <t>eng</t>
        </is>
      </c>
      <c r="P1298" t="inlineStr">
        <is>
          <t>nyu</t>
        </is>
      </c>
      <c r="R1298" t="inlineStr">
        <is>
          <t xml:space="preserve">BF </t>
        </is>
      </c>
      <c r="S1298" t="n">
        <v>41</v>
      </c>
      <c r="T1298" t="n">
        <v>41</v>
      </c>
      <c r="U1298" t="inlineStr">
        <is>
          <t>2006-09-25</t>
        </is>
      </c>
      <c r="V1298" t="inlineStr">
        <is>
          <t>2006-09-25</t>
        </is>
      </c>
      <c r="W1298" t="inlineStr">
        <is>
          <t>1990-03-08</t>
        </is>
      </c>
      <c r="X1298" t="inlineStr">
        <is>
          <t>1990-03-08</t>
        </is>
      </c>
      <c r="Y1298" t="n">
        <v>475</v>
      </c>
      <c r="Z1298" t="n">
        <v>453</v>
      </c>
      <c r="AA1298" t="n">
        <v>501</v>
      </c>
      <c r="AB1298" t="n">
        <v>4</v>
      </c>
      <c r="AC1298" t="n">
        <v>4</v>
      </c>
      <c r="AD1298" t="n">
        <v>2</v>
      </c>
      <c r="AE1298" t="n">
        <v>2</v>
      </c>
      <c r="AF1298" t="n">
        <v>0</v>
      </c>
      <c r="AG1298" t="n">
        <v>0</v>
      </c>
      <c r="AH1298" t="n">
        <v>1</v>
      </c>
      <c r="AI1298" t="n">
        <v>1</v>
      </c>
      <c r="AJ1298" t="n">
        <v>1</v>
      </c>
      <c r="AK1298" t="n">
        <v>1</v>
      </c>
      <c r="AL1298" t="n">
        <v>1</v>
      </c>
      <c r="AM1298" t="n">
        <v>1</v>
      </c>
      <c r="AN1298" t="n">
        <v>0</v>
      </c>
      <c r="AO1298" t="n">
        <v>0</v>
      </c>
      <c r="AP1298" t="inlineStr">
        <is>
          <t>No</t>
        </is>
      </c>
      <c r="AQ1298" t="inlineStr">
        <is>
          <t>No</t>
        </is>
      </c>
      <c r="AS1298">
        <f>HYPERLINK("https://creighton-primo.hosted.exlibrisgroup.com/primo-explore/search?tab=default_tab&amp;search_scope=EVERYTHING&amp;vid=01CRU&amp;lang=en_US&amp;offset=0&amp;query=any,contains,991001181169702656","Catalog Record")</f>
        <v/>
      </c>
      <c r="AT1298">
        <f>HYPERLINK("http://www.worldcat.org/oclc/17108357","WorldCat Record")</f>
        <v/>
      </c>
      <c r="AU1298" t="inlineStr">
        <is>
          <t>793053751:eng</t>
        </is>
      </c>
      <c r="AV1298" t="inlineStr">
        <is>
          <t>17108357</t>
        </is>
      </c>
      <c r="AW1298" t="inlineStr">
        <is>
          <t>991001181169702656</t>
        </is>
      </c>
      <c r="AX1298" t="inlineStr">
        <is>
          <t>991001181169702656</t>
        </is>
      </c>
      <c r="AY1298" t="inlineStr">
        <is>
          <t>2259423890002656</t>
        </is>
      </c>
      <c r="AZ1298" t="inlineStr">
        <is>
          <t>BOOK</t>
        </is>
      </c>
      <c r="BB1298" t="inlineStr">
        <is>
          <t>9780805005868</t>
        </is>
      </c>
      <c r="BC1298" t="inlineStr">
        <is>
          <t>32285000078419</t>
        </is>
      </c>
      <c r="BD1298" t="inlineStr">
        <is>
          <t>893340225</t>
        </is>
      </c>
    </row>
    <row r="1299">
      <c r="A1299" t="inlineStr">
        <is>
          <t>No</t>
        </is>
      </c>
      <c r="B1299" t="inlineStr">
        <is>
          <t>BF891 .S63 1973</t>
        </is>
      </c>
      <c r="C1299" t="inlineStr">
        <is>
          <t>0                      BF 0891000S  63          1973</t>
        </is>
      </c>
      <c r="D1299" t="inlineStr">
        <is>
          <t>How to really know yourself through your handwriting.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Solomon, Shirl.</t>
        </is>
      </c>
      <c r="L1299" t="inlineStr">
        <is>
          <t>New York : Taplinger Pub. Co., [1973]</t>
        </is>
      </c>
      <c r="M1299" t="inlineStr">
        <is>
          <t>1973</t>
        </is>
      </c>
      <c r="N1299" t="inlineStr">
        <is>
          <t>[1st ed.]</t>
        </is>
      </c>
      <c r="O1299" t="inlineStr">
        <is>
          <t>eng</t>
        </is>
      </c>
      <c r="P1299" t="inlineStr">
        <is>
          <t>nyu</t>
        </is>
      </c>
      <c r="R1299" t="inlineStr">
        <is>
          <t xml:space="preserve">BF </t>
        </is>
      </c>
      <c r="S1299" t="n">
        <v>31</v>
      </c>
      <c r="T1299" t="n">
        <v>31</v>
      </c>
      <c r="U1299" t="inlineStr">
        <is>
          <t>2006-09-25</t>
        </is>
      </c>
      <c r="V1299" t="inlineStr">
        <is>
          <t>2006-09-25</t>
        </is>
      </c>
      <c r="W1299" t="inlineStr">
        <is>
          <t>1990-03-12</t>
        </is>
      </c>
      <c r="X1299" t="inlineStr">
        <is>
          <t>1990-03-12</t>
        </is>
      </c>
      <c r="Y1299" t="n">
        <v>346</v>
      </c>
      <c r="Z1299" t="n">
        <v>333</v>
      </c>
      <c r="AA1299" t="n">
        <v>364</v>
      </c>
      <c r="AB1299" t="n">
        <v>2</v>
      </c>
      <c r="AC1299" t="n">
        <v>2</v>
      </c>
      <c r="AD1299" t="n">
        <v>2</v>
      </c>
      <c r="AE1299" t="n">
        <v>2</v>
      </c>
      <c r="AF1299" t="n">
        <v>0</v>
      </c>
      <c r="AG1299" t="n">
        <v>0</v>
      </c>
      <c r="AH1299" t="n">
        <v>0</v>
      </c>
      <c r="AI1299" t="n">
        <v>0</v>
      </c>
      <c r="AJ1299" t="n">
        <v>2</v>
      </c>
      <c r="AK1299" t="n">
        <v>2</v>
      </c>
      <c r="AL1299" t="n">
        <v>0</v>
      </c>
      <c r="AM1299" t="n">
        <v>0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No</t>
        </is>
      </c>
      <c r="AS1299">
        <f>HYPERLINK("https://creighton-primo.hosted.exlibrisgroup.com/primo-explore/search?tab=default_tab&amp;search_scope=EVERYTHING&amp;vid=01CRU&amp;lang=en_US&amp;offset=0&amp;query=any,contains,991003240139702656","Catalog Record")</f>
        <v/>
      </c>
      <c r="AT1299">
        <f>HYPERLINK("http://www.worldcat.org/oclc/763423","WorldCat Record")</f>
        <v/>
      </c>
      <c r="AU1299" t="inlineStr">
        <is>
          <t>1154821:eng</t>
        </is>
      </c>
      <c r="AV1299" t="inlineStr">
        <is>
          <t>763423</t>
        </is>
      </c>
      <c r="AW1299" t="inlineStr">
        <is>
          <t>991003240139702656</t>
        </is>
      </c>
      <c r="AX1299" t="inlineStr">
        <is>
          <t>991003240139702656</t>
        </is>
      </c>
      <c r="AY1299" t="inlineStr">
        <is>
          <t>2266588520002656</t>
        </is>
      </c>
      <c r="AZ1299" t="inlineStr">
        <is>
          <t>BOOK</t>
        </is>
      </c>
      <c r="BB1299" t="inlineStr">
        <is>
          <t>9780800839666</t>
        </is>
      </c>
      <c r="BC1299" t="inlineStr">
        <is>
          <t>32285000081454</t>
        </is>
      </c>
      <c r="BD1299" t="inlineStr">
        <is>
          <t>893252178</t>
        </is>
      </c>
    </row>
    <row r="1300">
      <c r="A1300" t="inlineStr">
        <is>
          <t>No</t>
        </is>
      </c>
      <c r="B1300" t="inlineStr">
        <is>
          <t>BF891 .T53</t>
        </is>
      </c>
      <c r="C1300" t="inlineStr">
        <is>
          <t>0                      BF 0891000T  53</t>
        </is>
      </c>
      <c r="D1300" t="inlineStr">
        <is>
          <t>Psychology and pathology of handwriting / by Magdalene Kintzel-Thumm ; tr. from the German by Magdalene Kintzel-Thumm.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K1300" t="inlineStr">
        <is>
          <t>Thumm, Magdalene Kintzel-</t>
        </is>
      </c>
      <c r="L1300" t="inlineStr">
        <is>
          <t>New York : Fowler &amp; Wells co.; [etc., etc., c1905]</t>
        </is>
      </c>
      <c r="M1300" t="inlineStr">
        <is>
          <t>1905</t>
        </is>
      </c>
      <c r="O1300" t="inlineStr">
        <is>
          <t>eng</t>
        </is>
      </c>
      <c r="P1300" t="inlineStr">
        <is>
          <t>nyu</t>
        </is>
      </c>
      <c r="R1300" t="inlineStr">
        <is>
          <t xml:space="preserve">BF </t>
        </is>
      </c>
      <c r="S1300" t="n">
        <v>8</v>
      </c>
      <c r="T1300" t="n">
        <v>8</v>
      </c>
      <c r="U1300" t="inlineStr">
        <is>
          <t>2006-09-26</t>
        </is>
      </c>
      <c r="V1300" t="inlineStr">
        <is>
          <t>2006-09-26</t>
        </is>
      </c>
      <c r="W1300" t="inlineStr">
        <is>
          <t>1991-12-13</t>
        </is>
      </c>
      <c r="X1300" t="inlineStr">
        <is>
          <t>1991-12-13</t>
        </is>
      </c>
      <c r="Y1300" t="n">
        <v>19</v>
      </c>
      <c r="Z1300" t="n">
        <v>16</v>
      </c>
      <c r="AA1300" t="n">
        <v>19</v>
      </c>
      <c r="AB1300" t="n">
        <v>2</v>
      </c>
      <c r="AC1300" t="n">
        <v>2</v>
      </c>
      <c r="AD1300" t="n">
        <v>1</v>
      </c>
      <c r="AE1300" t="n">
        <v>1</v>
      </c>
      <c r="AF1300" t="n">
        <v>0</v>
      </c>
      <c r="AG1300" t="n">
        <v>0</v>
      </c>
      <c r="AH1300" t="n">
        <v>0</v>
      </c>
      <c r="AI1300" t="n">
        <v>0</v>
      </c>
      <c r="AJ1300" t="n">
        <v>0</v>
      </c>
      <c r="AK1300" t="n">
        <v>0</v>
      </c>
      <c r="AL1300" t="n">
        <v>1</v>
      </c>
      <c r="AM1300" t="n">
        <v>1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No</t>
        </is>
      </c>
      <c r="AS1300">
        <f>HYPERLINK("https://creighton-primo.hosted.exlibrisgroup.com/primo-explore/search?tab=default_tab&amp;search_scope=EVERYTHING&amp;vid=01CRU&amp;lang=en_US&amp;offset=0&amp;query=any,contains,991004748519702656","Catalog Record")</f>
        <v/>
      </c>
      <c r="AT1300">
        <f>HYPERLINK("http://www.worldcat.org/oclc/4927365","WorldCat Record")</f>
        <v/>
      </c>
      <c r="AU1300" t="inlineStr">
        <is>
          <t>475084370:eng</t>
        </is>
      </c>
      <c r="AV1300" t="inlineStr">
        <is>
          <t>4927365</t>
        </is>
      </c>
      <c r="AW1300" t="inlineStr">
        <is>
          <t>991004748519702656</t>
        </is>
      </c>
      <c r="AX1300" t="inlineStr">
        <is>
          <t>991004748519702656</t>
        </is>
      </c>
      <c r="AY1300" t="inlineStr">
        <is>
          <t>2262916500002656</t>
        </is>
      </c>
      <c r="AZ1300" t="inlineStr">
        <is>
          <t>BOOK</t>
        </is>
      </c>
      <c r="BC1300" t="inlineStr">
        <is>
          <t>32285000877224</t>
        </is>
      </c>
      <c r="BD1300" t="inlineStr">
        <is>
          <t>893338092</t>
        </is>
      </c>
    </row>
    <row r="1301">
      <c r="A1301" t="inlineStr">
        <is>
          <t>No</t>
        </is>
      </c>
      <c r="B1301" t="inlineStr">
        <is>
          <t>BF893 .S3413</t>
        </is>
      </c>
      <c r="C1301" t="inlineStr">
        <is>
          <t>0                      BF 0893000S  3413</t>
        </is>
      </c>
      <c r="D1301" t="inlineStr">
        <is>
          <t>Graphology and psychoanalysis : the handwriting of Sigmund Freud and his circle / by Fritz Schweighofer ; translated by Susan Ray.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K1301" t="inlineStr">
        <is>
          <t>Schweighofer, Fritz, 1916-</t>
        </is>
      </c>
      <c r="L1301" t="inlineStr">
        <is>
          <t>New York : Springer, c1979.</t>
        </is>
      </c>
      <c r="M1301" t="inlineStr">
        <is>
          <t>1979</t>
        </is>
      </c>
      <c r="O1301" t="inlineStr">
        <is>
          <t>eng</t>
        </is>
      </c>
      <c r="P1301" t="inlineStr">
        <is>
          <t>nyu</t>
        </is>
      </c>
      <c r="R1301" t="inlineStr">
        <is>
          <t xml:space="preserve">BF </t>
        </is>
      </c>
      <c r="S1301" t="n">
        <v>8</v>
      </c>
      <c r="T1301" t="n">
        <v>8</v>
      </c>
      <c r="U1301" t="inlineStr">
        <is>
          <t>2006-09-26</t>
        </is>
      </c>
      <c r="V1301" t="inlineStr">
        <is>
          <t>2006-09-26</t>
        </is>
      </c>
      <c r="W1301" t="inlineStr">
        <is>
          <t>1990-02-15</t>
        </is>
      </c>
      <c r="X1301" t="inlineStr">
        <is>
          <t>1990-02-15</t>
        </is>
      </c>
      <c r="Y1301" t="n">
        <v>113</v>
      </c>
      <c r="Z1301" t="n">
        <v>92</v>
      </c>
      <c r="AA1301" t="n">
        <v>94</v>
      </c>
      <c r="AB1301" t="n">
        <v>2</v>
      </c>
      <c r="AC1301" t="n">
        <v>2</v>
      </c>
      <c r="AD1301" t="n">
        <v>2</v>
      </c>
      <c r="AE1301" t="n">
        <v>2</v>
      </c>
      <c r="AF1301" t="n">
        <v>0</v>
      </c>
      <c r="AG1301" t="n">
        <v>0</v>
      </c>
      <c r="AH1301" t="n">
        <v>0</v>
      </c>
      <c r="AI1301" t="n">
        <v>0</v>
      </c>
      <c r="AJ1301" t="n">
        <v>1</v>
      </c>
      <c r="AK1301" t="n">
        <v>1</v>
      </c>
      <c r="AL1301" t="n">
        <v>1</v>
      </c>
      <c r="AM1301" t="n">
        <v>1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Yes</t>
        </is>
      </c>
      <c r="AR1301">
        <f>HYPERLINK("http://catalog.hathitrust.org/Record/000040862","HathiTrust Record")</f>
        <v/>
      </c>
      <c r="AS1301">
        <f>HYPERLINK("https://creighton-primo.hosted.exlibrisgroup.com/primo-explore/search?tab=default_tab&amp;search_scope=EVERYTHING&amp;vid=01CRU&amp;lang=en_US&amp;offset=0&amp;query=any,contains,991004812149702656","Catalog Record")</f>
        <v/>
      </c>
      <c r="AT1301">
        <f>HYPERLINK("http://www.worldcat.org/oclc/5286056","WorldCat Record")</f>
        <v/>
      </c>
      <c r="AU1301" t="inlineStr">
        <is>
          <t>3901719590:eng</t>
        </is>
      </c>
      <c r="AV1301" t="inlineStr">
        <is>
          <t>5286056</t>
        </is>
      </c>
      <c r="AW1301" t="inlineStr">
        <is>
          <t>991004812149702656</t>
        </is>
      </c>
      <c r="AX1301" t="inlineStr">
        <is>
          <t>991004812149702656</t>
        </is>
      </c>
      <c r="AY1301" t="inlineStr">
        <is>
          <t>2271781580002656</t>
        </is>
      </c>
      <c r="AZ1301" t="inlineStr">
        <is>
          <t>BOOK</t>
        </is>
      </c>
      <c r="BB1301" t="inlineStr">
        <is>
          <t>9780826129901</t>
        </is>
      </c>
      <c r="BC1301" t="inlineStr">
        <is>
          <t>32285000053917</t>
        </is>
      </c>
      <c r="BD1301" t="inlineStr">
        <is>
          <t>893520072</t>
        </is>
      </c>
    </row>
    <row r="1302">
      <c r="A1302" t="inlineStr">
        <is>
          <t>No</t>
        </is>
      </c>
      <c r="B1302" t="inlineStr">
        <is>
          <t>BF921 .W55 1971</t>
        </is>
      </c>
      <c r="C1302" t="inlineStr">
        <is>
          <t>0                      BF 0921000W  55          1971</t>
        </is>
      </c>
      <c r="D1302" t="inlineStr">
        <is>
          <t>The complete book of palmistry / by Joyce Wilson.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Wilson, Joyce.</t>
        </is>
      </c>
      <c r="L1302" t="inlineStr">
        <is>
          <t>New York : Bantam Books, 1971.</t>
        </is>
      </c>
      <c r="M1302" t="inlineStr">
        <is>
          <t>1971</t>
        </is>
      </c>
      <c r="O1302" t="inlineStr">
        <is>
          <t>eng</t>
        </is>
      </c>
      <c r="P1302" t="inlineStr">
        <is>
          <t>nyu</t>
        </is>
      </c>
      <c r="R1302" t="inlineStr">
        <is>
          <t xml:space="preserve">BF </t>
        </is>
      </c>
      <c r="S1302" t="n">
        <v>17</v>
      </c>
      <c r="T1302" t="n">
        <v>17</v>
      </c>
      <c r="U1302" t="inlineStr">
        <is>
          <t>2005-07-20</t>
        </is>
      </c>
      <c r="V1302" t="inlineStr">
        <is>
          <t>2005-07-20</t>
        </is>
      </c>
      <c r="W1302" t="inlineStr">
        <is>
          <t>1996-05-22</t>
        </is>
      </c>
      <c r="X1302" t="inlineStr">
        <is>
          <t>1996-05-22</t>
        </is>
      </c>
      <c r="Y1302" t="n">
        <v>112</v>
      </c>
      <c r="Z1302" t="n">
        <v>103</v>
      </c>
      <c r="AA1302" t="n">
        <v>114</v>
      </c>
      <c r="AB1302" t="n">
        <v>1</v>
      </c>
      <c r="AC1302" t="n">
        <v>1</v>
      </c>
      <c r="AD1302" t="n">
        <v>2</v>
      </c>
      <c r="AE1302" t="n">
        <v>2</v>
      </c>
      <c r="AF1302" t="n">
        <v>1</v>
      </c>
      <c r="AG1302" t="n">
        <v>1</v>
      </c>
      <c r="AH1302" t="n">
        <v>0</v>
      </c>
      <c r="AI1302" t="n">
        <v>0</v>
      </c>
      <c r="AJ1302" t="n">
        <v>1</v>
      </c>
      <c r="AK1302" t="n">
        <v>1</v>
      </c>
      <c r="AL1302" t="n">
        <v>0</v>
      </c>
      <c r="AM1302" t="n">
        <v>0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No</t>
        </is>
      </c>
      <c r="AS1302">
        <f>HYPERLINK("https://creighton-primo.hosted.exlibrisgroup.com/primo-explore/search?tab=default_tab&amp;search_scope=EVERYTHING&amp;vid=01CRU&amp;lang=en_US&amp;offset=0&amp;query=any,contains,991004170029702656","Catalog Record")</f>
        <v/>
      </c>
      <c r="AT1302">
        <f>HYPERLINK("http://www.worldcat.org/oclc/2578861","WorldCat Record")</f>
        <v/>
      </c>
      <c r="AU1302" t="inlineStr">
        <is>
          <t>5480475:eng</t>
        </is>
      </c>
      <c r="AV1302" t="inlineStr">
        <is>
          <t>2578861</t>
        </is>
      </c>
      <c r="AW1302" t="inlineStr">
        <is>
          <t>991004170029702656</t>
        </is>
      </c>
      <c r="AX1302" t="inlineStr">
        <is>
          <t>991004170029702656</t>
        </is>
      </c>
      <c r="AY1302" t="inlineStr">
        <is>
          <t>2257483250002656</t>
        </is>
      </c>
      <c r="AZ1302" t="inlineStr">
        <is>
          <t>BOOK</t>
        </is>
      </c>
      <c r="BC1302" t="inlineStr">
        <is>
          <t>32285002177383</t>
        </is>
      </c>
      <c r="BD1302" t="inlineStr">
        <is>
          <t>893325021</t>
        </is>
      </c>
    </row>
    <row r="1303">
      <c r="A1303" t="inlineStr">
        <is>
          <t>No</t>
        </is>
      </c>
      <c r="B1303" t="inlineStr">
        <is>
          <t>BF95 .B6 1957</t>
        </is>
      </c>
      <c r="C1303" t="inlineStr">
        <is>
          <t>0                      BF 0095000B  6           1957</t>
        </is>
      </c>
      <c r="D1303" t="inlineStr">
        <is>
          <t>A history of experimental psychology.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Boring, Edwin Garrigues, 1886-1968.</t>
        </is>
      </c>
      <c r="L1303" t="inlineStr">
        <is>
          <t>New York : Appleton-Century-Crofts, c1957</t>
        </is>
      </c>
      <c r="M1303" t="inlineStr">
        <is>
          <t>1957</t>
        </is>
      </c>
      <c r="N1303" t="inlineStr">
        <is>
          <t>2d ed.</t>
        </is>
      </c>
      <c r="O1303" t="inlineStr">
        <is>
          <t>eng</t>
        </is>
      </c>
      <c r="P1303" t="inlineStr">
        <is>
          <t xml:space="preserve">xx </t>
        </is>
      </c>
      <c r="Q1303" t="inlineStr">
        <is>
          <t>The Century psychology series</t>
        </is>
      </c>
      <c r="R1303" t="inlineStr">
        <is>
          <t xml:space="preserve">BF </t>
        </is>
      </c>
      <c r="S1303" t="n">
        <v>11</v>
      </c>
      <c r="T1303" t="n">
        <v>11</v>
      </c>
      <c r="U1303" t="inlineStr">
        <is>
          <t>2006-11-21</t>
        </is>
      </c>
      <c r="V1303" t="inlineStr">
        <is>
          <t>2006-11-21</t>
        </is>
      </c>
      <c r="W1303" t="inlineStr">
        <is>
          <t>1992-09-03</t>
        </is>
      </c>
      <c r="X1303" t="inlineStr">
        <is>
          <t>1992-09-03</t>
        </is>
      </c>
      <c r="Y1303" t="n">
        <v>334</v>
      </c>
      <c r="Z1303" t="n">
        <v>233</v>
      </c>
      <c r="AA1303" t="n">
        <v>1359</v>
      </c>
      <c r="AB1303" t="n">
        <v>1</v>
      </c>
      <c r="AC1303" t="n">
        <v>11</v>
      </c>
      <c r="AD1303" t="n">
        <v>5</v>
      </c>
      <c r="AE1303" t="n">
        <v>50</v>
      </c>
      <c r="AF1303" t="n">
        <v>3</v>
      </c>
      <c r="AG1303" t="n">
        <v>20</v>
      </c>
      <c r="AH1303" t="n">
        <v>1</v>
      </c>
      <c r="AI1303" t="n">
        <v>10</v>
      </c>
      <c r="AJ1303" t="n">
        <v>2</v>
      </c>
      <c r="AK1303" t="n">
        <v>24</v>
      </c>
      <c r="AL1303" t="n">
        <v>0</v>
      </c>
      <c r="AM1303" t="n">
        <v>9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No</t>
        </is>
      </c>
      <c r="AS1303">
        <f>HYPERLINK("https://creighton-primo.hosted.exlibrisgroup.com/primo-explore/search?tab=default_tab&amp;search_scope=EVERYTHING&amp;vid=01CRU&amp;lang=en_US&amp;offset=0&amp;query=any,contains,991003722929702656","Catalog Record")</f>
        <v/>
      </c>
      <c r="AT1303">
        <f>HYPERLINK("http://www.worldcat.org/oclc/1367273","WorldCat Record")</f>
        <v/>
      </c>
      <c r="AU1303" t="inlineStr">
        <is>
          <t>4417699911:eng</t>
        </is>
      </c>
      <c r="AV1303" t="inlineStr">
        <is>
          <t>1367273</t>
        </is>
      </c>
      <c r="AW1303" t="inlineStr">
        <is>
          <t>991003722929702656</t>
        </is>
      </c>
      <c r="AX1303" t="inlineStr">
        <is>
          <t>991003722929702656</t>
        </is>
      </c>
      <c r="AY1303" t="inlineStr">
        <is>
          <t>2256869500002656</t>
        </is>
      </c>
      <c r="AZ1303" t="inlineStr">
        <is>
          <t>BOOK</t>
        </is>
      </c>
      <c r="BC1303" t="inlineStr">
        <is>
          <t>32285001279412</t>
        </is>
      </c>
      <c r="BD1303" t="inlineStr">
        <is>
          <t>893324392</t>
        </is>
      </c>
    </row>
    <row r="1304">
      <c r="A1304" t="inlineStr">
        <is>
          <t>No</t>
        </is>
      </c>
      <c r="B1304" t="inlineStr">
        <is>
          <t>BF95 .F5 1964</t>
        </is>
      </c>
      <c r="C1304" t="inlineStr">
        <is>
          <t>0                      BF 0095000F  5           1964</t>
        </is>
      </c>
      <c r="D1304" t="inlineStr">
        <is>
          <t>A hundred years of psychology, 1833-1933 / by J.C. Flugel. With an additional part: 1933-1963, by Donald J. West.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No</t>
        </is>
      </c>
      <c r="J1304" t="inlineStr">
        <is>
          <t>0</t>
        </is>
      </c>
      <c r="K1304" t="inlineStr">
        <is>
          <t>Flugel, J. C. (John Carl), 1884-1955.</t>
        </is>
      </c>
      <c r="L1304" t="inlineStr">
        <is>
          <t>New York : Basic Books, [1964]</t>
        </is>
      </c>
      <c r="M1304" t="inlineStr">
        <is>
          <t>1964</t>
        </is>
      </c>
      <c r="O1304" t="inlineStr">
        <is>
          <t>eng</t>
        </is>
      </c>
      <c r="P1304" t="inlineStr">
        <is>
          <t>nyu</t>
        </is>
      </c>
      <c r="Q1304" t="inlineStr">
        <is>
          <t>The Hundred years series</t>
        </is>
      </c>
      <c r="R1304" t="inlineStr">
        <is>
          <t xml:space="preserve">BF </t>
        </is>
      </c>
      <c r="S1304" t="n">
        <v>3</v>
      </c>
      <c r="T1304" t="n">
        <v>3</v>
      </c>
      <c r="U1304" t="inlineStr">
        <is>
          <t>1999-03-01</t>
        </is>
      </c>
      <c r="V1304" t="inlineStr">
        <is>
          <t>1999-03-01</t>
        </is>
      </c>
      <c r="W1304" t="inlineStr">
        <is>
          <t>1993-02-05</t>
        </is>
      </c>
      <c r="X1304" t="inlineStr">
        <is>
          <t>1993-02-05</t>
        </is>
      </c>
      <c r="Y1304" t="n">
        <v>318</v>
      </c>
      <c r="Z1304" t="n">
        <v>294</v>
      </c>
      <c r="AA1304" t="n">
        <v>672</v>
      </c>
      <c r="AB1304" t="n">
        <v>1</v>
      </c>
      <c r="AC1304" t="n">
        <v>2</v>
      </c>
      <c r="AD1304" t="n">
        <v>11</v>
      </c>
      <c r="AE1304" t="n">
        <v>25</v>
      </c>
      <c r="AF1304" t="n">
        <v>4</v>
      </c>
      <c r="AG1304" t="n">
        <v>9</v>
      </c>
      <c r="AH1304" t="n">
        <v>2</v>
      </c>
      <c r="AI1304" t="n">
        <v>5</v>
      </c>
      <c r="AJ1304" t="n">
        <v>7</v>
      </c>
      <c r="AK1304" t="n">
        <v>16</v>
      </c>
      <c r="AL1304" t="n">
        <v>0</v>
      </c>
      <c r="AM1304" t="n">
        <v>1</v>
      </c>
      <c r="AN1304" t="n">
        <v>0</v>
      </c>
      <c r="AO1304" t="n">
        <v>0</v>
      </c>
      <c r="AP1304" t="inlineStr">
        <is>
          <t>No</t>
        </is>
      </c>
      <c r="AQ1304" t="inlineStr">
        <is>
          <t>Yes</t>
        </is>
      </c>
      <c r="AR1304">
        <f>HYPERLINK("http://catalog.hathitrust.org/Record/000615152","HathiTrust Record")</f>
        <v/>
      </c>
      <c r="AS1304">
        <f>HYPERLINK("https://creighton-primo.hosted.exlibrisgroup.com/primo-explore/search?tab=default_tab&amp;search_scope=EVERYTHING&amp;vid=01CRU&amp;lang=en_US&amp;offset=0&amp;query=any,contains,991003758129702656","Catalog Record")</f>
        <v/>
      </c>
      <c r="AT1304">
        <f>HYPERLINK("http://www.worldcat.org/oclc/1441585","WorldCat Record")</f>
        <v/>
      </c>
      <c r="AU1304" t="inlineStr">
        <is>
          <t>4535577805:eng</t>
        </is>
      </c>
      <c r="AV1304" t="inlineStr">
        <is>
          <t>1441585</t>
        </is>
      </c>
      <c r="AW1304" t="inlineStr">
        <is>
          <t>991003758129702656</t>
        </is>
      </c>
      <c r="AX1304" t="inlineStr">
        <is>
          <t>991003758129702656</t>
        </is>
      </c>
      <c r="AY1304" t="inlineStr">
        <is>
          <t>2257556230002656</t>
        </is>
      </c>
      <c r="AZ1304" t="inlineStr">
        <is>
          <t>BOOK</t>
        </is>
      </c>
      <c r="BC1304" t="inlineStr">
        <is>
          <t>32285001484277</t>
        </is>
      </c>
      <c r="BD1304" t="inlineStr">
        <is>
          <t>893900315</t>
        </is>
      </c>
    </row>
    <row r="1305">
      <c r="A1305" t="inlineStr">
        <is>
          <t>No</t>
        </is>
      </c>
      <c r="B1305" t="inlineStr">
        <is>
          <t>BF95 .T67 1985</t>
        </is>
      </c>
      <c r="C1305" t="inlineStr">
        <is>
          <t>0                      BF 0095000T  67          1985</t>
        </is>
      </c>
      <c r="D1305" t="inlineStr">
        <is>
          <t>Topics in the history of psychology / edited by Gregory A. Kimble, Kurt Schlesinger.</t>
        </is>
      </c>
      <c r="E1305" t="inlineStr">
        <is>
          <t>V.1</t>
        </is>
      </c>
      <c r="F1305" t="inlineStr">
        <is>
          <t>Yes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L1305" t="inlineStr">
        <is>
          <t>Hillsdale, N.J. : L. Erlbaum Associates, 1985.</t>
        </is>
      </c>
      <c r="M1305" t="inlineStr">
        <is>
          <t>1984</t>
        </is>
      </c>
      <c r="O1305" t="inlineStr">
        <is>
          <t>eng</t>
        </is>
      </c>
      <c r="P1305" t="inlineStr">
        <is>
          <t>nju</t>
        </is>
      </c>
      <c r="R1305" t="inlineStr">
        <is>
          <t xml:space="preserve">BF </t>
        </is>
      </c>
      <c r="S1305" t="n">
        <v>3</v>
      </c>
      <c r="T1305" t="n">
        <v>8</v>
      </c>
      <c r="U1305" t="inlineStr">
        <is>
          <t>2005-09-22</t>
        </is>
      </c>
      <c r="V1305" t="inlineStr">
        <is>
          <t>2005-09-22</t>
        </is>
      </c>
      <c r="W1305" t="inlineStr">
        <is>
          <t>1990-08-09</t>
        </is>
      </c>
      <c r="X1305" t="inlineStr">
        <is>
          <t>1990-08-09</t>
        </is>
      </c>
      <c r="Y1305" t="n">
        <v>629</v>
      </c>
      <c r="Z1305" t="n">
        <v>546</v>
      </c>
      <c r="AA1305" t="n">
        <v>558</v>
      </c>
      <c r="AB1305" t="n">
        <v>3</v>
      </c>
      <c r="AC1305" t="n">
        <v>3</v>
      </c>
      <c r="AD1305" t="n">
        <v>29</v>
      </c>
      <c r="AE1305" t="n">
        <v>30</v>
      </c>
      <c r="AF1305" t="n">
        <v>14</v>
      </c>
      <c r="AG1305" t="n">
        <v>14</v>
      </c>
      <c r="AH1305" t="n">
        <v>6</v>
      </c>
      <c r="AI1305" t="n">
        <v>7</v>
      </c>
      <c r="AJ1305" t="n">
        <v>17</v>
      </c>
      <c r="AK1305" t="n">
        <v>18</v>
      </c>
      <c r="AL1305" t="n">
        <v>2</v>
      </c>
      <c r="AM1305" t="n">
        <v>2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Yes</t>
        </is>
      </c>
      <c r="AR1305">
        <f>HYPERLINK("http://catalog.hathitrust.org/Record/000566896","HathiTrust Record")</f>
        <v/>
      </c>
      <c r="AS1305">
        <f>HYPERLINK("https://creighton-primo.hosted.exlibrisgroup.com/primo-explore/search?tab=default_tab&amp;search_scope=EVERYTHING&amp;vid=01CRU&amp;lang=en_US&amp;offset=0&amp;query=any,contains,991000535289702656","Catalog Record")</f>
        <v/>
      </c>
      <c r="AT1305">
        <f>HYPERLINK("http://www.worldcat.org/oclc/11444308","WorldCat Record")</f>
        <v/>
      </c>
      <c r="AU1305" t="inlineStr">
        <is>
          <t>2864781341:eng</t>
        </is>
      </c>
      <c r="AV1305" t="inlineStr">
        <is>
          <t>11444308</t>
        </is>
      </c>
      <c r="AW1305" t="inlineStr">
        <is>
          <t>991000535289702656</t>
        </is>
      </c>
      <c r="AX1305" t="inlineStr">
        <is>
          <t>991000535289702656</t>
        </is>
      </c>
      <c r="AY1305" t="inlineStr">
        <is>
          <t>2260071840002656</t>
        </is>
      </c>
      <c r="AZ1305" t="inlineStr">
        <is>
          <t>BOOK</t>
        </is>
      </c>
      <c r="BB1305" t="inlineStr">
        <is>
          <t>9780898593129</t>
        </is>
      </c>
      <c r="BC1305" t="inlineStr">
        <is>
          <t>32285000280536</t>
        </is>
      </c>
      <c r="BD1305" t="inlineStr">
        <is>
          <t>893508873</t>
        </is>
      </c>
    </row>
    <row r="1306">
      <c r="A1306" t="inlineStr">
        <is>
          <t>No</t>
        </is>
      </c>
      <c r="B1306" t="inlineStr">
        <is>
          <t>BF95 .T67 1985</t>
        </is>
      </c>
      <c r="C1306" t="inlineStr">
        <is>
          <t>0                      BF 0095000T  67          1985</t>
        </is>
      </c>
      <c r="D1306" t="inlineStr">
        <is>
          <t>Topics in the history of psychology / edited by Gregory A. Kimble, Kurt Schlesinger.</t>
        </is>
      </c>
      <c r="E1306" t="inlineStr">
        <is>
          <t>V.2</t>
        </is>
      </c>
      <c r="F1306" t="inlineStr">
        <is>
          <t>Yes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L1306" t="inlineStr">
        <is>
          <t>Hillsdale, N.J. : L. Erlbaum Associates, 1985.</t>
        </is>
      </c>
      <c r="M1306" t="inlineStr">
        <is>
          <t>1984</t>
        </is>
      </c>
      <c r="O1306" t="inlineStr">
        <is>
          <t>eng</t>
        </is>
      </c>
      <c r="P1306" t="inlineStr">
        <is>
          <t>nju</t>
        </is>
      </c>
      <c r="R1306" t="inlineStr">
        <is>
          <t xml:space="preserve">BF </t>
        </is>
      </c>
      <c r="S1306" t="n">
        <v>5</v>
      </c>
      <c r="T1306" t="n">
        <v>8</v>
      </c>
      <c r="U1306" t="inlineStr">
        <is>
          <t>2005-09-22</t>
        </is>
      </c>
      <c r="V1306" t="inlineStr">
        <is>
          <t>2005-09-22</t>
        </is>
      </c>
      <c r="W1306" t="inlineStr">
        <is>
          <t>1990-02-15</t>
        </is>
      </c>
      <c r="X1306" t="inlineStr">
        <is>
          <t>1990-08-09</t>
        </is>
      </c>
      <c r="Y1306" t="n">
        <v>629</v>
      </c>
      <c r="Z1306" t="n">
        <v>546</v>
      </c>
      <c r="AA1306" t="n">
        <v>558</v>
      </c>
      <c r="AB1306" t="n">
        <v>3</v>
      </c>
      <c r="AC1306" t="n">
        <v>3</v>
      </c>
      <c r="AD1306" t="n">
        <v>29</v>
      </c>
      <c r="AE1306" t="n">
        <v>30</v>
      </c>
      <c r="AF1306" t="n">
        <v>14</v>
      </c>
      <c r="AG1306" t="n">
        <v>14</v>
      </c>
      <c r="AH1306" t="n">
        <v>6</v>
      </c>
      <c r="AI1306" t="n">
        <v>7</v>
      </c>
      <c r="AJ1306" t="n">
        <v>17</v>
      </c>
      <c r="AK1306" t="n">
        <v>18</v>
      </c>
      <c r="AL1306" t="n">
        <v>2</v>
      </c>
      <c r="AM1306" t="n">
        <v>2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Yes</t>
        </is>
      </c>
      <c r="AR1306">
        <f>HYPERLINK("http://catalog.hathitrust.org/Record/000566896","HathiTrust Record")</f>
        <v/>
      </c>
      <c r="AS1306">
        <f>HYPERLINK("https://creighton-primo.hosted.exlibrisgroup.com/primo-explore/search?tab=default_tab&amp;search_scope=EVERYTHING&amp;vid=01CRU&amp;lang=en_US&amp;offset=0&amp;query=any,contains,991000535289702656","Catalog Record")</f>
        <v/>
      </c>
      <c r="AT1306">
        <f>HYPERLINK("http://www.worldcat.org/oclc/11444308","WorldCat Record")</f>
        <v/>
      </c>
      <c r="AU1306" t="inlineStr">
        <is>
          <t>2864781341:eng</t>
        </is>
      </c>
      <c r="AV1306" t="inlineStr">
        <is>
          <t>11444308</t>
        </is>
      </c>
      <c r="AW1306" t="inlineStr">
        <is>
          <t>991000535289702656</t>
        </is>
      </c>
      <c r="AX1306" t="inlineStr">
        <is>
          <t>991000535289702656</t>
        </is>
      </c>
      <c r="AY1306" t="inlineStr">
        <is>
          <t>2260071840002656</t>
        </is>
      </c>
      <c r="AZ1306" t="inlineStr">
        <is>
          <t>BOOK</t>
        </is>
      </c>
      <c r="BB1306" t="inlineStr">
        <is>
          <t>9780898593129</t>
        </is>
      </c>
      <c r="BC1306" t="inlineStr">
        <is>
          <t>32285000053883</t>
        </is>
      </c>
      <c r="BD1306" t="inlineStr">
        <is>
          <t>893528133</t>
        </is>
      </c>
    </row>
    <row r="1307">
      <c r="A1307" t="inlineStr">
        <is>
          <t>No</t>
        </is>
      </c>
      <c r="B1307" t="inlineStr">
        <is>
          <t>BF 1078 B715c 1962</t>
        </is>
      </c>
      <c r="C1307" t="inlineStr">
        <is>
          <t>0                      BF 1078000B  715c        1962</t>
        </is>
      </c>
      <c r="D1307" t="inlineStr">
        <is>
          <t>The clinical use of dreams / foreword by Montague Ullman.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Bonime, Walter, 1909-2001.</t>
        </is>
      </c>
      <c r="L1307" t="inlineStr">
        <is>
          <t>New York : Basic Books, [1962]</t>
        </is>
      </c>
      <c r="M1307" t="inlineStr">
        <is>
          <t>1962</t>
        </is>
      </c>
      <c r="O1307" t="inlineStr">
        <is>
          <t>eng</t>
        </is>
      </c>
      <c r="P1307" t="inlineStr">
        <is>
          <t>nyu</t>
        </is>
      </c>
      <c r="R1307" t="inlineStr">
        <is>
          <t xml:space="preserve">BF </t>
        </is>
      </c>
      <c r="S1307" t="n">
        <v>8</v>
      </c>
      <c r="T1307" t="n">
        <v>8</v>
      </c>
      <c r="U1307" t="inlineStr">
        <is>
          <t>1997-07-23</t>
        </is>
      </c>
      <c r="V1307" t="inlineStr">
        <is>
          <t>1997-07-23</t>
        </is>
      </c>
      <c r="W1307" t="inlineStr">
        <is>
          <t>1987-09-03</t>
        </is>
      </c>
      <c r="X1307" t="inlineStr">
        <is>
          <t>1987-09-03</t>
        </is>
      </c>
      <c r="Y1307" t="n">
        <v>479</v>
      </c>
      <c r="Z1307" t="n">
        <v>426</v>
      </c>
      <c r="AA1307" t="n">
        <v>473</v>
      </c>
      <c r="AB1307" t="n">
        <v>3</v>
      </c>
      <c r="AC1307" t="n">
        <v>4</v>
      </c>
      <c r="AD1307" t="n">
        <v>12</v>
      </c>
      <c r="AE1307" t="n">
        <v>14</v>
      </c>
      <c r="AF1307" t="n">
        <v>4</v>
      </c>
      <c r="AG1307" t="n">
        <v>4</v>
      </c>
      <c r="AH1307" t="n">
        <v>4</v>
      </c>
      <c r="AI1307" t="n">
        <v>4</v>
      </c>
      <c r="AJ1307" t="n">
        <v>6</v>
      </c>
      <c r="AK1307" t="n">
        <v>7</v>
      </c>
      <c r="AL1307" t="n">
        <v>2</v>
      </c>
      <c r="AM1307" t="n">
        <v>3</v>
      </c>
      <c r="AN1307" t="n">
        <v>0</v>
      </c>
      <c r="AO1307" t="n">
        <v>0</v>
      </c>
      <c r="AP1307" t="inlineStr">
        <is>
          <t>No</t>
        </is>
      </c>
      <c r="AQ1307" t="inlineStr">
        <is>
          <t>No</t>
        </is>
      </c>
      <c r="AR1307">
        <f>HYPERLINK("http://catalog.hathitrust.org/Record/006256131","HathiTrust Record")</f>
        <v/>
      </c>
      <c r="AS1307">
        <f>HYPERLINK("https://creighton-primo.hosted.exlibrisgroup.com/primo-explore/search?tab=default_tab&amp;search_scope=EVERYTHING&amp;vid=01CRU&amp;lang=en_US&amp;offset=0&amp;query=any,contains,991000791689702656","Catalog Record")</f>
        <v/>
      </c>
      <c r="AT1307">
        <f>HYPERLINK("http://www.worldcat.org/oclc/993839","WorldCat Record")</f>
        <v/>
      </c>
    </row>
    <row r="1308">
      <c r="A1308" t="inlineStr">
        <is>
          <t>No</t>
        </is>
      </c>
      <c r="B1308" t="inlineStr">
        <is>
          <t>BF 109.A1 Z96n 1984</t>
        </is>
      </c>
      <c r="C1308" t="inlineStr">
        <is>
          <t>0                      BF 0109000A  1                  Z  96n         1984</t>
        </is>
      </c>
      <c r="D1308" t="inlineStr">
        <is>
          <t>Biographical dictionary of psychology / Leonard Zusne.</t>
        </is>
      </c>
      <c r="F1308" t="inlineStr">
        <is>
          <t>No</t>
        </is>
      </c>
      <c r="G1308" t="inlineStr">
        <is>
          <t>1</t>
        </is>
      </c>
      <c r="H1308" t="inlineStr">
        <is>
          <t>Yes</t>
        </is>
      </c>
      <c r="I1308" t="inlineStr">
        <is>
          <t>No</t>
        </is>
      </c>
      <c r="J1308" t="inlineStr">
        <is>
          <t>0</t>
        </is>
      </c>
      <c r="K1308" t="inlineStr">
        <is>
          <t>Zusne, Leonard, 1924-2003.</t>
        </is>
      </c>
      <c r="L1308" t="inlineStr">
        <is>
          <t>Westport, Conn. : Greenwood Press, c1984.</t>
        </is>
      </c>
      <c r="M1308" t="inlineStr">
        <is>
          <t>1984</t>
        </is>
      </c>
      <c r="O1308" t="inlineStr">
        <is>
          <t>eng</t>
        </is>
      </c>
      <c r="P1308" t="inlineStr">
        <is>
          <t>xxu</t>
        </is>
      </c>
      <c r="R1308" t="inlineStr">
        <is>
          <t xml:space="preserve">BF </t>
        </is>
      </c>
      <c r="S1308" t="n">
        <v>1</v>
      </c>
      <c r="T1308" t="n">
        <v>1</v>
      </c>
      <c r="U1308" t="inlineStr">
        <is>
          <t>2002-09-05</t>
        </is>
      </c>
      <c r="V1308" t="inlineStr">
        <is>
          <t>2002-09-05</t>
        </is>
      </c>
      <c r="W1308" t="inlineStr">
        <is>
          <t>1987-08-28</t>
        </is>
      </c>
      <c r="X1308" t="inlineStr">
        <is>
          <t>1987-08-28</t>
        </is>
      </c>
      <c r="Y1308" t="n">
        <v>874</v>
      </c>
      <c r="Z1308" t="n">
        <v>758</v>
      </c>
      <c r="AA1308" t="n">
        <v>782</v>
      </c>
      <c r="AB1308" t="n">
        <v>7</v>
      </c>
      <c r="AC1308" t="n">
        <v>7</v>
      </c>
      <c r="AD1308" t="n">
        <v>24</v>
      </c>
      <c r="AE1308" t="n">
        <v>24</v>
      </c>
      <c r="AF1308" t="n">
        <v>9</v>
      </c>
      <c r="AG1308" t="n">
        <v>9</v>
      </c>
      <c r="AH1308" t="n">
        <v>3</v>
      </c>
      <c r="AI1308" t="n">
        <v>3</v>
      </c>
      <c r="AJ1308" t="n">
        <v>9</v>
      </c>
      <c r="AK1308" t="n">
        <v>9</v>
      </c>
      <c r="AL1308" t="n">
        <v>5</v>
      </c>
      <c r="AM1308" t="n">
        <v>5</v>
      </c>
      <c r="AN1308" t="n">
        <v>0</v>
      </c>
      <c r="AO1308" t="n">
        <v>0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HYPERLINK("http://catalog.hathitrust.org/Record/000339310","HathiTrust Record")</f>
        <v/>
      </c>
      <c r="AS1308">
        <f>HYPERLINK("https://creighton-primo.hosted.exlibrisgroup.com/primo-explore/search?tab=default_tab&amp;search_scope=EVERYTHING&amp;vid=01CRU&amp;lang=en_US&amp;offset=0&amp;query=any,contains,991001140279702656","Catalog Record")</f>
        <v/>
      </c>
      <c r="AT1308">
        <f>HYPERLINK("http://www.worldcat.org/oclc/9853504","WorldCat Record")</f>
        <v/>
      </c>
    </row>
    <row r="1309">
      <c r="A1309" t="inlineStr">
        <is>
          <t>No</t>
        </is>
      </c>
      <c r="B1309" t="inlineStr">
        <is>
          <t>BF 1166 C567s 1956</t>
        </is>
      </c>
      <c r="C1309" t="inlineStr">
        <is>
          <t>0                      BF 1166000C  567s        1956</t>
        </is>
      </c>
      <c r="D1309" t="inlineStr">
        <is>
          <t>Ciba Foundation symposium on extrasensory perception / editors for the Ciba Foundation: G. E. W. Wolstenholme and Elaine C. P. Millar.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Ciba Foundation.</t>
        </is>
      </c>
      <c r="L1309" t="inlineStr">
        <is>
          <t>Boston : Little, Brown, 1956.</t>
        </is>
      </c>
      <c r="M1309" t="inlineStr">
        <is>
          <t>1956</t>
        </is>
      </c>
      <c r="O1309" t="inlineStr">
        <is>
          <t>eng</t>
        </is>
      </c>
      <c r="P1309" t="inlineStr">
        <is>
          <t xml:space="preserve">xx </t>
        </is>
      </c>
      <c r="R1309" t="inlineStr">
        <is>
          <t xml:space="preserve">BF </t>
        </is>
      </c>
      <c r="S1309" t="n">
        <v>2</v>
      </c>
      <c r="T1309" t="n">
        <v>2</v>
      </c>
      <c r="U1309" t="inlineStr">
        <is>
          <t>1991-11-25</t>
        </is>
      </c>
      <c r="V1309" t="inlineStr">
        <is>
          <t>1991-11-25</t>
        </is>
      </c>
      <c r="W1309" t="inlineStr">
        <is>
          <t>1987-09-03</t>
        </is>
      </c>
      <c r="X1309" t="inlineStr">
        <is>
          <t>1987-09-03</t>
        </is>
      </c>
      <c r="Y1309" t="n">
        <v>266</v>
      </c>
      <c r="Z1309" t="n">
        <v>245</v>
      </c>
      <c r="AA1309" t="n">
        <v>291</v>
      </c>
      <c r="AB1309" t="n">
        <v>1</v>
      </c>
      <c r="AC1309" t="n">
        <v>1</v>
      </c>
      <c r="AD1309" t="n">
        <v>14</v>
      </c>
      <c r="AE1309" t="n">
        <v>15</v>
      </c>
      <c r="AF1309" t="n">
        <v>5</v>
      </c>
      <c r="AG1309" t="n">
        <v>5</v>
      </c>
      <c r="AH1309" t="n">
        <v>3</v>
      </c>
      <c r="AI1309" t="n">
        <v>3</v>
      </c>
      <c r="AJ1309" t="n">
        <v>8</v>
      </c>
      <c r="AK1309" t="n">
        <v>9</v>
      </c>
      <c r="AL1309" t="n">
        <v>0</v>
      </c>
      <c r="AM1309" t="n">
        <v>0</v>
      </c>
      <c r="AN1309" t="n">
        <v>0</v>
      </c>
      <c r="AO1309" t="n">
        <v>0</v>
      </c>
      <c r="AP1309" t="inlineStr">
        <is>
          <t>No</t>
        </is>
      </c>
      <c r="AQ1309" t="inlineStr">
        <is>
          <t>No</t>
        </is>
      </c>
      <c r="AR1309">
        <f>HYPERLINK("http://catalog.hathitrust.org/Record/000475145","HathiTrust Record")</f>
        <v/>
      </c>
      <c r="AS1309">
        <f>HYPERLINK("https://creighton-primo.hosted.exlibrisgroup.com/primo-explore/search?tab=default_tab&amp;search_scope=EVERYTHING&amp;vid=01CRU&amp;lang=en_US&amp;offset=0&amp;query=any,contains,991000791489702656","Catalog Record")</f>
        <v/>
      </c>
      <c r="AT1309">
        <f>HYPERLINK("http://www.worldcat.org/oclc/565554","WorldCat Record")</f>
        <v/>
      </c>
    </row>
    <row r="1310">
      <c r="A1310" t="inlineStr">
        <is>
          <t>No</t>
        </is>
      </c>
      <c r="B1310" t="inlineStr">
        <is>
          <t>BF 1171 E33t 1948</t>
        </is>
      </c>
      <c r="C1310" t="inlineStr">
        <is>
          <t>0                      BF 1171000E  33t         1948</t>
        </is>
      </c>
      <c r="D1310" t="inlineStr">
        <is>
          <t>Telepathy and medical psychology.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Ehrenwald, Jan, 1900-1988.</t>
        </is>
      </c>
      <c r="L1310" t="inlineStr">
        <is>
          <t>New York : Norton, 1948.</t>
        </is>
      </c>
      <c r="M1310" t="inlineStr">
        <is>
          <t>1948</t>
        </is>
      </c>
      <c r="N1310" t="inlineStr">
        <is>
          <t>[1st American ed.]</t>
        </is>
      </c>
      <c r="O1310" t="inlineStr">
        <is>
          <t>eng</t>
        </is>
      </c>
      <c r="P1310" t="inlineStr">
        <is>
          <t>nyu</t>
        </is>
      </c>
      <c r="R1310" t="inlineStr">
        <is>
          <t xml:space="preserve">BF </t>
        </is>
      </c>
      <c r="S1310" t="n">
        <v>2</v>
      </c>
      <c r="T1310" t="n">
        <v>2</v>
      </c>
      <c r="U1310" t="inlineStr">
        <is>
          <t>1991-11-25</t>
        </is>
      </c>
      <c r="V1310" t="inlineStr">
        <is>
          <t>1991-11-25</t>
        </is>
      </c>
      <c r="W1310" t="inlineStr">
        <is>
          <t>1987-09-03</t>
        </is>
      </c>
      <c r="X1310" t="inlineStr">
        <is>
          <t>1987-09-03</t>
        </is>
      </c>
      <c r="Y1310" t="n">
        <v>161</v>
      </c>
      <c r="Z1310" t="n">
        <v>145</v>
      </c>
      <c r="AA1310" t="n">
        <v>158</v>
      </c>
      <c r="AB1310" t="n">
        <v>1</v>
      </c>
      <c r="AC1310" t="n">
        <v>1</v>
      </c>
      <c r="AD1310" t="n">
        <v>4</v>
      </c>
      <c r="AE1310" t="n">
        <v>5</v>
      </c>
      <c r="AF1310" t="n">
        <v>0</v>
      </c>
      <c r="AG1310" t="n">
        <v>1</v>
      </c>
      <c r="AH1310" t="n">
        <v>0</v>
      </c>
      <c r="AI1310" t="n">
        <v>0</v>
      </c>
      <c r="AJ1310" t="n">
        <v>4</v>
      </c>
      <c r="AK1310" t="n">
        <v>4</v>
      </c>
      <c r="AL1310" t="n">
        <v>0</v>
      </c>
      <c r="AM1310" t="n">
        <v>0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Yes</t>
        </is>
      </c>
      <c r="AR1310">
        <f>HYPERLINK("http://catalog.hathitrust.org/Record/007110419","HathiTrust Record")</f>
        <v/>
      </c>
      <c r="AS1310">
        <f>HYPERLINK("https://creighton-primo.hosted.exlibrisgroup.com/primo-explore/search?tab=default_tab&amp;search_scope=EVERYTHING&amp;vid=01CRU&amp;lang=en_US&amp;offset=0&amp;query=any,contains,991000791549702656","Catalog Record")</f>
        <v/>
      </c>
      <c r="AT1310">
        <f>HYPERLINK("http://www.worldcat.org/oclc/1701629","WorldCat Record")</f>
        <v/>
      </c>
    </row>
    <row r="1311">
      <c r="A1311" t="inlineStr">
        <is>
          <t>No</t>
        </is>
      </c>
      <c r="B1311" t="inlineStr">
        <is>
          <t>BF 121 C737 1994</t>
        </is>
      </c>
      <c r="C1311" t="inlineStr">
        <is>
          <t>0                      BF 0121000C  737         1994</t>
        </is>
      </c>
      <c r="D1311" t="inlineStr">
        <is>
          <t>Companion encyclopedia of psychology / edited by Andrew M. Colman.</t>
        </is>
      </c>
      <c r="F1311" t="inlineStr">
        <is>
          <t>Yes</t>
        </is>
      </c>
      <c r="G1311" t="inlineStr">
        <is>
          <t>1</t>
        </is>
      </c>
      <c r="H1311" t="inlineStr">
        <is>
          <t>Yes</t>
        </is>
      </c>
      <c r="I1311" t="inlineStr">
        <is>
          <t>No</t>
        </is>
      </c>
      <c r="J1311" t="inlineStr">
        <is>
          <t>0</t>
        </is>
      </c>
      <c r="L1311" t="inlineStr">
        <is>
          <t>London : Routledge, c1994.</t>
        </is>
      </c>
      <c r="M1311" t="inlineStr">
        <is>
          <t>1994</t>
        </is>
      </c>
      <c r="O1311" t="inlineStr">
        <is>
          <t>eng</t>
        </is>
      </c>
      <c r="P1311" t="inlineStr">
        <is>
          <t>enk</t>
        </is>
      </c>
      <c r="R1311" t="inlineStr">
        <is>
          <t xml:space="preserve">BF </t>
        </is>
      </c>
      <c r="S1311" t="n">
        <v>2</v>
      </c>
      <c r="T1311" t="n">
        <v>3</v>
      </c>
      <c r="U1311" t="inlineStr">
        <is>
          <t>1994-07-13</t>
        </is>
      </c>
      <c r="V1311" t="inlineStr">
        <is>
          <t>1994-07-13</t>
        </is>
      </c>
      <c r="W1311" t="inlineStr">
        <is>
          <t>1994-07-13</t>
        </is>
      </c>
      <c r="X1311" t="inlineStr">
        <is>
          <t>1994-07-13</t>
        </is>
      </c>
      <c r="Y1311" t="n">
        <v>754</v>
      </c>
      <c r="Z1311" t="n">
        <v>552</v>
      </c>
      <c r="AA1311" t="n">
        <v>563</v>
      </c>
      <c r="AB1311" t="n">
        <v>5</v>
      </c>
      <c r="AC1311" t="n">
        <v>5</v>
      </c>
      <c r="AD1311" t="n">
        <v>23</v>
      </c>
      <c r="AE1311" t="n">
        <v>24</v>
      </c>
      <c r="AF1311" t="n">
        <v>5</v>
      </c>
      <c r="AG1311" t="n">
        <v>6</v>
      </c>
      <c r="AH1311" t="n">
        <v>6</v>
      </c>
      <c r="AI1311" t="n">
        <v>6</v>
      </c>
      <c r="AJ1311" t="n">
        <v>14</v>
      </c>
      <c r="AK1311" t="n">
        <v>15</v>
      </c>
      <c r="AL1311" t="n">
        <v>4</v>
      </c>
      <c r="AM1311" t="n">
        <v>4</v>
      </c>
      <c r="AN1311" t="n">
        <v>0</v>
      </c>
      <c r="AO1311" t="n">
        <v>0</v>
      </c>
      <c r="AP1311" t="inlineStr">
        <is>
          <t>No</t>
        </is>
      </c>
      <c r="AQ1311" t="inlineStr">
        <is>
          <t>No</t>
        </is>
      </c>
      <c r="AS1311">
        <f>HYPERLINK("https://creighton-primo.hosted.exlibrisgroup.com/primo-explore/search?tab=default_tab&amp;search_scope=EVERYTHING&amp;vid=01CRU&amp;lang=en_US&amp;offset=0&amp;query=any,contains,991000671639702656","Catalog Record")</f>
        <v/>
      </c>
      <c r="AT1311">
        <f>HYPERLINK("http://www.worldcat.org/oclc/29703951","WorldCat Record")</f>
        <v/>
      </c>
    </row>
    <row r="1312">
      <c r="A1312" t="inlineStr">
        <is>
          <t>No</t>
        </is>
      </c>
      <c r="B1312" t="inlineStr">
        <is>
          <t>BF 121 H918 1994</t>
        </is>
      </c>
      <c r="C1312" t="inlineStr">
        <is>
          <t>0                      BF 0121000H  918         1994</t>
        </is>
      </c>
      <c r="D1312" t="inlineStr">
        <is>
          <t>Human behavior : an introduction for medical students / edited by Alan Stoudemire ; 27 contributors.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L1312" t="inlineStr">
        <is>
          <t>Philadelphia : J.B. Lippincott, c1994.</t>
        </is>
      </c>
      <c r="M1312" t="inlineStr">
        <is>
          <t>1994</t>
        </is>
      </c>
      <c r="N1312" t="inlineStr">
        <is>
          <t>2nd ed.</t>
        </is>
      </c>
      <c r="O1312" t="inlineStr">
        <is>
          <t>eng</t>
        </is>
      </c>
      <c r="P1312" t="inlineStr">
        <is>
          <t>pau</t>
        </is>
      </c>
      <c r="R1312" t="inlineStr">
        <is>
          <t xml:space="preserve">BF </t>
        </is>
      </c>
      <c r="S1312" t="n">
        <v>59</v>
      </c>
      <c r="T1312" t="n">
        <v>59</v>
      </c>
      <c r="U1312" t="inlineStr">
        <is>
          <t>2006-01-03</t>
        </is>
      </c>
      <c r="V1312" t="inlineStr">
        <is>
          <t>2006-01-03</t>
        </is>
      </c>
      <c r="W1312" t="inlineStr">
        <is>
          <t>1995-08-14</t>
        </is>
      </c>
      <c r="X1312" t="inlineStr">
        <is>
          <t>1995-08-14</t>
        </is>
      </c>
      <c r="Y1312" t="n">
        <v>149</v>
      </c>
      <c r="Z1312" t="n">
        <v>111</v>
      </c>
      <c r="AA1312" t="n">
        <v>118</v>
      </c>
      <c r="AB1312" t="n">
        <v>1</v>
      </c>
      <c r="AC1312" t="n">
        <v>1</v>
      </c>
      <c r="AD1312" t="n">
        <v>4</v>
      </c>
      <c r="AE1312" t="n">
        <v>4</v>
      </c>
      <c r="AF1312" t="n">
        <v>2</v>
      </c>
      <c r="AG1312" t="n">
        <v>2</v>
      </c>
      <c r="AH1312" t="n">
        <v>1</v>
      </c>
      <c r="AI1312" t="n">
        <v>1</v>
      </c>
      <c r="AJ1312" t="n">
        <v>3</v>
      </c>
      <c r="AK1312" t="n">
        <v>3</v>
      </c>
      <c r="AL1312" t="n">
        <v>0</v>
      </c>
      <c r="AM1312" t="n">
        <v>0</v>
      </c>
      <c r="AN1312" t="n">
        <v>0</v>
      </c>
      <c r="AO1312" t="n">
        <v>0</v>
      </c>
      <c r="AP1312" t="inlineStr">
        <is>
          <t>No</t>
        </is>
      </c>
      <c r="AQ1312" t="inlineStr">
        <is>
          <t>Yes</t>
        </is>
      </c>
      <c r="AR1312">
        <f>HYPERLINK("http://catalog.hathitrust.org/Record/002967637","HathiTrust Record")</f>
        <v/>
      </c>
      <c r="AS1312">
        <f>HYPERLINK("https://creighton-primo.hosted.exlibrisgroup.com/primo-explore/search?tab=default_tab&amp;search_scope=EVERYTHING&amp;vid=01CRU&amp;lang=en_US&amp;offset=0&amp;query=any,contains,991001403979702656","Catalog Record")</f>
        <v/>
      </c>
      <c r="AT1312">
        <f>HYPERLINK("http://www.worldcat.org/oclc/28802043","WorldCat Record")</f>
        <v/>
      </c>
    </row>
    <row r="1313">
      <c r="A1313" t="inlineStr">
        <is>
          <t>No</t>
        </is>
      </c>
      <c r="B1313" t="inlineStr">
        <is>
          <t>BF 121 H918 1998</t>
        </is>
      </c>
      <c r="C1313" t="inlineStr">
        <is>
          <t>0                      BF 0121000H  918         1998</t>
        </is>
      </c>
      <c r="D1313" t="inlineStr">
        <is>
          <t>Human behavior : an introduction for medical students / edited by Alan Stoudemire.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L1313" t="inlineStr">
        <is>
          <t>Philadelphia, PA: Lippincott-Raven, c1998.</t>
        </is>
      </c>
      <c r="M1313" t="inlineStr">
        <is>
          <t>1998</t>
        </is>
      </c>
      <c r="N1313" t="inlineStr">
        <is>
          <t>3rd ed.</t>
        </is>
      </c>
      <c r="O1313" t="inlineStr">
        <is>
          <t>eng</t>
        </is>
      </c>
      <c r="P1313" t="inlineStr">
        <is>
          <t>pau</t>
        </is>
      </c>
      <c r="R1313" t="inlineStr">
        <is>
          <t xml:space="preserve">BF </t>
        </is>
      </c>
      <c r="S1313" t="n">
        <v>90</v>
      </c>
      <c r="T1313" t="n">
        <v>90</v>
      </c>
      <c r="U1313" t="inlineStr">
        <is>
          <t>2007-12-12</t>
        </is>
      </c>
      <c r="V1313" t="inlineStr">
        <is>
          <t>2007-12-12</t>
        </is>
      </c>
      <c r="W1313" t="inlineStr">
        <is>
          <t>1999-01-19</t>
        </is>
      </c>
      <c r="X1313" t="inlineStr">
        <is>
          <t>1999-01-19</t>
        </is>
      </c>
      <c r="Y1313" t="n">
        <v>183</v>
      </c>
      <c r="Z1313" t="n">
        <v>124</v>
      </c>
      <c r="AA1313" t="n">
        <v>130</v>
      </c>
      <c r="AB1313" t="n">
        <v>1</v>
      </c>
      <c r="AC1313" t="n">
        <v>1</v>
      </c>
      <c r="AD1313" t="n">
        <v>3</v>
      </c>
      <c r="AE1313" t="n">
        <v>3</v>
      </c>
      <c r="AF1313" t="n">
        <v>1</v>
      </c>
      <c r="AG1313" t="n">
        <v>1</v>
      </c>
      <c r="AH1313" t="n">
        <v>1</v>
      </c>
      <c r="AI1313" t="n">
        <v>1</v>
      </c>
      <c r="AJ1313" t="n">
        <v>2</v>
      </c>
      <c r="AK1313" t="n">
        <v>2</v>
      </c>
      <c r="AL1313" t="n">
        <v>0</v>
      </c>
      <c r="AM1313" t="n">
        <v>0</v>
      </c>
      <c r="AN1313" t="n">
        <v>0</v>
      </c>
      <c r="AO1313" t="n">
        <v>0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HYPERLINK("https://creighton-primo.hosted.exlibrisgroup.com/primo-explore/search?tab=default_tab&amp;search_scope=EVERYTHING&amp;vid=01CRU&amp;lang=en_US&amp;offset=0&amp;query=any,contains,991001531079702656","Catalog Record")</f>
        <v/>
      </c>
      <c r="AT1313">
        <f>HYPERLINK("http://www.worldcat.org/oclc/38311553","WorldCat Record")</f>
        <v/>
      </c>
    </row>
    <row r="1314">
      <c r="A1314" t="inlineStr">
        <is>
          <t>No</t>
        </is>
      </c>
      <c r="B1314" t="inlineStr">
        <is>
          <t>BF 121 L183p 1992</t>
        </is>
      </c>
      <c r="C1314" t="inlineStr">
        <is>
          <t>0                      BF 0121000L  183p        1992</t>
        </is>
      </c>
      <c r="D1314" t="inlineStr">
        <is>
          <t>Psychology : an introduction / Benjamin B. Lahey.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Lahey, Benjamin B.</t>
        </is>
      </c>
      <c r="L1314" t="inlineStr">
        <is>
          <t>Dubuque, Iowa : Wm. C. Brown Publishers, c1992.</t>
        </is>
      </c>
      <c r="M1314" t="inlineStr">
        <is>
          <t>1992</t>
        </is>
      </c>
      <c r="N1314" t="inlineStr">
        <is>
          <t>4th ed.</t>
        </is>
      </c>
      <c r="O1314" t="inlineStr">
        <is>
          <t>eng</t>
        </is>
      </c>
      <c r="P1314" t="inlineStr">
        <is>
          <t>iau</t>
        </is>
      </c>
      <c r="R1314" t="inlineStr">
        <is>
          <t xml:space="preserve">BF </t>
        </is>
      </c>
      <c r="S1314" t="n">
        <v>17</v>
      </c>
      <c r="T1314" t="n">
        <v>17</v>
      </c>
      <c r="U1314" t="inlineStr">
        <is>
          <t>2005-02-27</t>
        </is>
      </c>
      <c r="V1314" t="inlineStr">
        <is>
          <t>2005-02-27</t>
        </is>
      </c>
      <c r="W1314" t="inlineStr">
        <is>
          <t>1992-08-31</t>
        </is>
      </c>
      <c r="X1314" t="inlineStr">
        <is>
          <t>1992-08-31</t>
        </is>
      </c>
      <c r="Y1314" t="n">
        <v>57</v>
      </c>
      <c r="Z1314" t="n">
        <v>39</v>
      </c>
      <c r="AA1314" t="n">
        <v>419</v>
      </c>
      <c r="AB1314" t="n">
        <v>1</v>
      </c>
      <c r="AC1314" t="n">
        <v>3</v>
      </c>
      <c r="AD1314" t="n">
        <v>2</v>
      </c>
      <c r="AE1314" t="n">
        <v>7</v>
      </c>
      <c r="AF1314" t="n">
        <v>1</v>
      </c>
      <c r="AG1314" t="n">
        <v>3</v>
      </c>
      <c r="AH1314" t="n">
        <v>0</v>
      </c>
      <c r="AI1314" t="n">
        <v>0</v>
      </c>
      <c r="AJ1314" t="n">
        <v>2</v>
      </c>
      <c r="AK1314" t="n">
        <v>4</v>
      </c>
      <c r="AL1314" t="n">
        <v>0</v>
      </c>
      <c r="AM1314" t="n">
        <v>2</v>
      </c>
      <c r="AN1314" t="n">
        <v>0</v>
      </c>
      <c r="AO1314" t="n">
        <v>0</v>
      </c>
      <c r="AP1314" t="inlineStr">
        <is>
          <t>No</t>
        </is>
      </c>
      <c r="AQ1314" t="inlineStr">
        <is>
          <t>No</t>
        </is>
      </c>
      <c r="AS1314">
        <f>HYPERLINK("https://creighton-primo.hosted.exlibrisgroup.com/primo-explore/search?tab=default_tab&amp;search_scope=EVERYTHING&amp;vid=01CRU&amp;lang=en_US&amp;offset=0&amp;query=any,contains,991001341829702656","Catalog Record")</f>
        <v/>
      </c>
      <c r="AT1314">
        <f>HYPERLINK("http://www.worldcat.org/oclc/25130935","WorldCat Record")</f>
        <v/>
      </c>
    </row>
    <row r="1315">
      <c r="A1315" t="inlineStr">
        <is>
          <t>No</t>
        </is>
      </c>
      <c r="B1315" t="inlineStr">
        <is>
          <t>BF 121 L188p 1992</t>
        </is>
      </c>
      <c r="C1315" t="inlineStr">
        <is>
          <t>0                      BF 0121000L  188p        1992</t>
        </is>
      </c>
      <c r="D1315" t="inlineStr">
        <is>
          <t>Psychology / James D. Laird, Nicholas S. Thompson.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K1315" t="inlineStr">
        <is>
          <t>Laird, James D.</t>
        </is>
      </c>
      <c r="L1315" t="inlineStr">
        <is>
          <t>Boston : Houghton Mifflin, c1992.</t>
        </is>
      </c>
      <c r="M1315" t="inlineStr">
        <is>
          <t>1992</t>
        </is>
      </c>
      <c r="O1315" t="inlineStr">
        <is>
          <t>eng</t>
        </is>
      </c>
      <c r="P1315" t="inlineStr">
        <is>
          <t>mau</t>
        </is>
      </c>
      <c r="R1315" t="inlineStr">
        <is>
          <t xml:space="preserve">BF </t>
        </is>
      </c>
      <c r="S1315" t="n">
        <v>14</v>
      </c>
      <c r="T1315" t="n">
        <v>14</v>
      </c>
      <c r="U1315" t="inlineStr">
        <is>
          <t>1999-03-21</t>
        </is>
      </c>
      <c r="V1315" t="inlineStr">
        <is>
          <t>1999-03-21</t>
        </is>
      </c>
      <c r="W1315" t="inlineStr">
        <is>
          <t>1992-08-31</t>
        </is>
      </c>
      <c r="X1315" t="inlineStr">
        <is>
          <t>1992-08-31</t>
        </is>
      </c>
      <c r="Y1315" t="n">
        <v>70</v>
      </c>
      <c r="Z1315" t="n">
        <v>54</v>
      </c>
      <c r="AA1315" t="n">
        <v>55</v>
      </c>
      <c r="AB1315" t="n">
        <v>1</v>
      </c>
      <c r="AC1315" t="n">
        <v>1</v>
      </c>
      <c r="AD1315" t="n">
        <v>0</v>
      </c>
      <c r="AE1315" t="n">
        <v>0</v>
      </c>
      <c r="AF1315" t="n">
        <v>0</v>
      </c>
      <c r="AG1315" t="n">
        <v>0</v>
      </c>
      <c r="AH1315" t="n">
        <v>0</v>
      </c>
      <c r="AI1315" t="n">
        <v>0</v>
      </c>
      <c r="AJ1315" t="n">
        <v>0</v>
      </c>
      <c r="AK1315" t="n">
        <v>0</v>
      </c>
      <c r="AL1315" t="n">
        <v>0</v>
      </c>
      <c r="AM1315" t="n">
        <v>0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No</t>
        </is>
      </c>
      <c r="AS1315">
        <f>HYPERLINK("https://creighton-primo.hosted.exlibrisgroup.com/primo-explore/search?tab=default_tab&amp;search_scope=EVERYTHING&amp;vid=01CRU&amp;lang=en_US&amp;offset=0&amp;query=any,contains,991001341609702656","Catalog Record")</f>
        <v/>
      </c>
      <c r="AT1315">
        <f>HYPERLINK("http://www.worldcat.org/oclc/25412128","WorldCat Record")</f>
        <v/>
      </c>
    </row>
    <row r="1316">
      <c r="A1316" t="inlineStr">
        <is>
          <t>No</t>
        </is>
      </c>
      <c r="B1316" t="inlineStr">
        <is>
          <t>BF 121 M134u 1992</t>
        </is>
      </c>
      <c r="C1316" t="inlineStr">
        <is>
          <t>0                      BF 0121000M  134u        1992</t>
        </is>
      </c>
      <c r="D1316" t="inlineStr">
        <is>
          <t>Understanding human behavior / James V. McConnell, Ronald P. Philipchalk.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K1316" t="inlineStr">
        <is>
          <t>McConnell, James V.</t>
        </is>
      </c>
      <c r="L1316" t="inlineStr">
        <is>
          <t>Fort Worth : Harcourt Brace Jovanovich College Publishers, c1992.</t>
        </is>
      </c>
      <c r="M1316" t="inlineStr">
        <is>
          <t>1992</t>
        </is>
      </c>
      <c r="N1316" t="inlineStr">
        <is>
          <t>7th ed.</t>
        </is>
      </c>
      <c r="O1316" t="inlineStr">
        <is>
          <t>eng</t>
        </is>
      </c>
      <c r="P1316" t="inlineStr">
        <is>
          <t>txu</t>
        </is>
      </c>
      <c r="R1316" t="inlineStr">
        <is>
          <t xml:space="preserve">BF </t>
        </is>
      </c>
      <c r="S1316" t="n">
        <v>11</v>
      </c>
      <c r="T1316" t="n">
        <v>11</v>
      </c>
      <c r="U1316" t="inlineStr">
        <is>
          <t>1998-07-16</t>
        </is>
      </c>
      <c r="V1316" t="inlineStr">
        <is>
          <t>1998-07-16</t>
        </is>
      </c>
      <c r="W1316" t="inlineStr">
        <is>
          <t>1992-08-31</t>
        </is>
      </c>
      <c r="X1316" t="inlineStr">
        <is>
          <t>1992-08-31</t>
        </is>
      </c>
      <c r="Y1316" t="n">
        <v>111</v>
      </c>
      <c r="Z1316" t="n">
        <v>68</v>
      </c>
      <c r="AA1316" t="n">
        <v>325</v>
      </c>
      <c r="AB1316" t="n">
        <v>2</v>
      </c>
      <c r="AC1316" t="n">
        <v>6</v>
      </c>
      <c r="AD1316" t="n">
        <v>5</v>
      </c>
      <c r="AE1316" t="n">
        <v>9</v>
      </c>
      <c r="AF1316" t="n">
        <v>2</v>
      </c>
      <c r="AG1316" t="n">
        <v>4</v>
      </c>
      <c r="AH1316" t="n">
        <v>0</v>
      </c>
      <c r="AI1316" t="n">
        <v>1</v>
      </c>
      <c r="AJ1316" t="n">
        <v>3</v>
      </c>
      <c r="AK1316" t="n">
        <v>4</v>
      </c>
      <c r="AL1316" t="n">
        <v>1</v>
      </c>
      <c r="AM1316" t="n">
        <v>1</v>
      </c>
      <c r="AN1316" t="n">
        <v>0</v>
      </c>
      <c r="AO1316" t="n">
        <v>0</v>
      </c>
      <c r="AP1316" t="inlineStr">
        <is>
          <t>No</t>
        </is>
      </c>
      <c r="AQ1316" t="inlineStr">
        <is>
          <t>Yes</t>
        </is>
      </c>
      <c r="AR1316">
        <f>HYPERLINK("http://catalog.hathitrust.org/Record/009812612","HathiTrust Record")</f>
        <v/>
      </c>
      <c r="AS1316">
        <f>HYPERLINK("https://creighton-primo.hosted.exlibrisgroup.com/primo-explore/search?tab=default_tab&amp;search_scope=EVERYTHING&amp;vid=01CRU&amp;lang=en_US&amp;offset=0&amp;query=any,contains,991001341689702656","Catalog Record")</f>
        <v/>
      </c>
      <c r="AT1316">
        <f>HYPERLINK("http://www.worldcat.org/oclc/24009629","WorldCat Record")</f>
        <v/>
      </c>
    </row>
    <row r="1317">
      <c r="A1317" t="inlineStr">
        <is>
          <t>No</t>
        </is>
      </c>
      <c r="B1317" t="inlineStr">
        <is>
          <t>BF 173 E68w 1987</t>
        </is>
      </c>
      <c r="C1317" t="inlineStr">
        <is>
          <t>0                      BF 0173000E  68w         1987</t>
        </is>
      </c>
      <c r="D1317" t="inlineStr">
        <is>
          <t>A way of looking at things : selected papers from 1930-1980 / Erik H. Erikson ; edited by Stephen Schlein.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K1317" t="inlineStr">
        <is>
          <t>Erikson, Erik H. (Erik Homburger), 1902-1994.</t>
        </is>
      </c>
      <c r="L1317" t="inlineStr">
        <is>
          <t>New York : Norton, c1987.</t>
        </is>
      </c>
      <c r="M1317" t="inlineStr">
        <is>
          <t>1987</t>
        </is>
      </c>
      <c r="N1317" t="inlineStr">
        <is>
          <t>1st ed.</t>
        </is>
      </c>
      <c r="O1317" t="inlineStr">
        <is>
          <t>eng</t>
        </is>
      </c>
      <c r="P1317" t="inlineStr">
        <is>
          <t>nyu</t>
        </is>
      </c>
      <c r="R1317" t="inlineStr">
        <is>
          <t xml:space="preserve">BF </t>
        </is>
      </c>
      <c r="S1317" t="n">
        <v>4</v>
      </c>
      <c r="T1317" t="n">
        <v>4</v>
      </c>
      <c r="U1317" t="inlineStr">
        <is>
          <t>1992-10-09</t>
        </is>
      </c>
      <c r="V1317" t="inlineStr">
        <is>
          <t>1992-10-09</t>
        </is>
      </c>
      <c r="W1317" t="inlineStr">
        <is>
          <t>1987-11-17</t>
        </is>
      </c>
      <c r="X1317" t="inlineStr">
        <is>
          <t>1987-11-17</t>
        </is>
      </c>
      <c r="Y1317" t="n">
        <v>714</v>
      </c>
      <c r="Z1317" t="n">
        <v>627</v>
      </c>
      <c r="AA1317" t="n">
        <v>723</v>
      </c>
      <c r="AB1317" t="n">
        <v>5</v>
      </c>
      <c r="AC1317" t="n">
        <v>5</v>
      </c>
      <c r="AD1317" t="n">
        <v>28</v>
      </c>
      <c r="AE1317" t="n">
        <v>29</v>
      </c>
      <c r="AF1317" t="n">
        <v>9</v>
      </c>
      <c r="AG1317" t="n">
        <v>10</v>
      </c>
      <c r="AH1317" t="n">
        <v>6</v>
      </c>
      <c r="AI1317" t="n">
        <v>6</v>
      </c>
      <c r="AJ1317" t="n">
        <v>18</v>
      </c>
      <c r="AK1317" t="n">
        <v>18</v>
      </c>
      <c r="AL1317" t="n">
        <v>3</v>
      </c>
      <c r="AM1317" t="n">
        <v>3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No</t>
        </is>
      </c>
      <c r="AS1317">
        <f>HYPERLINK("https://creighton-primo.hosted.exlibrisgroup.com/primo-explore/search?tab=default_tab&amp;search_scope=EVERYTHING&amp;vid=01CRU&amp;lang=en_US&amp;offset=0&amp;query=any,contains,991001531539702656","Catalog Record")</f>
        <v/>
      </c>
      <c r="AT1317">
        <f>HYPERLINK("http://www.worldcat.org/oclc/13524548","WorldCat Record")</f>
        <v/>
      </c>
    </row>
    <row r="1318">
      <c r="A1318" t="inlineStr">
        <is>
          <t>No</t>
        </is>
      </c>
      <c r="B1318" t="inlineStr">
        <is>
          <t>BF 176 G881h 1984</t>
        </is>
      </c>
      <c r="C1318" t="inlineStr">
        <is>
          <t>0                      BF 0176000G  881h        1984</t>
        </is>
      </c>
      <c r="D1318" t="inlineStr">
        <is>
          <t>Handbook of psychological assessment / Gary Groth-Marnat.</t>
        </is>
      </c>
      <c r="F1318" t="inlineStr">
        <is>
          <t>No</t>
        </is>
      </c>
      <c r="G1318" t="inlineStr">
        <is>
          <t>1</t>
        </is>
      </c>
      <c r="H1318" t="inlineStr">
        <is>
          <t>Yes</t>
        </is>
      </c>
      <c r="I1318" t="inlineStr">
        <is>
          <t>No</t>
        </is>
      </c>
      <c r="J1318" t="inlineStr">
        <is>
          <t>0</t>
        </is>
      </c>
      <c r="K1318" t="inlineStr">
        <is>
          <t>Groth-Marnat, Gary.</t>
        </is>
      </c>
      <c r="L1318" t="inlineStr">
        <is>
          <t>New York, N.Y. : Van Nostrand Reinhold, c1984.</t>
        </is>
      </c>
      <c r="M1318" t="inlineStr">
        <is>
          <t>1984</t>
        </is>
      </c>
      <c r="O1318" t="inlineStr">
        <is>
          <t>eng</t>
        </is>
      </c>
      <c r="P1318" t="inlineStr">
        <is>
          <t>xxu</t>
        </is>
      </c>
      <c r="R1318" t="inlineStr">
        <is>
          <t xml:space="preserve">BF </t>
        </is>
      </c>
      <c r="S1318" t="n">
        <v>11</v>
      </c>
      <c r="T1318" t="n">
        <v>11</v>
      </c>
      <c r="U1318" t="inlineStr">
        <is>
          <t>2008-01-06</t>
        </is>
      </c>
      <c r="V1318" t="inlineStr">
        <is>
          <t>2008-01-06</t>
        </is>
      </c>
      <c r="W1318" t="inlineStr">
        <is>
          <t>1987-08-28</t>
        </is>
      </c>
      <c r="X1318" t="inlineStr">
        <is>
          <t>1987-08-28</t>
        </is>
      </c>
      <c r="Y1318" t="n">
        <v>548</v>
      </c>
      <c r="Z1318" t="n">
        <v>470</v>
      </c>
      <c r="AA1318" t="n">
        <v>1998</v>
      </c>
      <c r="AB1318" t="n">
        <v>6</v>
      </c>
      <c r="AC1318" t="n">
        <v>34</v>
      </c>
      <c r="AD1318" t="n">
        <v>20</v>
      </c>
      <c r="AE1318" t="n">
        <v>67</v>
      </c>
      <c r="AF1318" t="n">
        <v>6</v>
      </c>
      <c r="AG1318" t="n">
        <v>25</v>
      </c>
      <c r="AH1318" t="n">
        <v>5</v>
      </c>
      <c r="AI1318" t="n">
        <v>11</v>
      </c>
      <c r="AJ1318" t="n">
        <v>10</v>
      </c>
      <c r="AK1318" t="n">
        <v>25</v>
      </c>
      <c r="AL1318" t="n">
        <v>4</v>
      </c>
      <c r="AM1318" t="n">
        <v>18</v>
      </c>
      <c r="AN1318" t="n">
        <v>0</v>
      </c>
      <c r="AO1318" t="n">
        <v>1</v>
      </c>
      <c r="AP1318" t="inlineStr">
        <is>
          <t>No</t>
        </is>
      </c>
      <c r="AQ1318" t="inlineStr">
        <is>
          <t>Yes</t>
        </is>
      </c>
      <c r="AR1318">
        <f>HYPERLINK("http://catalog.hathitrust.org/Record/000168316","HathiTrust Record")</f>
        <v/>
      </c>
      <c r="AS1318">
        <f>HYPERLINK("https://creighton-primo.hosted.exlibrisgroup.com/primo-explore/search?tab=default_tab&amp;search_scope=EVERYTHING&amp;vid=01CRU&amp;lang=en_US&amp;offset=0&amp;query=any,contains,991000787039702656","Catalog Record")</f>
        <v/>
      </c>
      <c r="AT1318">
        <f>HYPERLINK("http://www.worldcat.org/oclc/10072396","WorldCat Record")</f>
        <v/>
      </c>
    </row>
    <row r="1319">
      <c r="A1319" t="inlineStr">
        <is>
          <t>No</t>
        </is>
      </c>
      <c r="B1319" t="inlineStr">
        <is>
          <t>BF 311 G815g 1997</t>
        </is>
      </c>
      <c r="C1319" t="inlineStr">
        <is>
          <t>0                      BF 0311000G  815g        1997</t>
        </is>
      </c>
      <c r="D1319" t="inlineStr">
        <is>
          <t>The growth of the mind : and the endangered origins of intelligence / Stanley I. Greenspan with Beryl Lieff Benderly.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Yes</t>
        </is>
      </c>
      <c r="J1319" t="inlineStr">
        <is>
          <t>0</t>
        </is>
      </c>
      <c r="K1319" t="inlineStr">
        <is>
          <t>Greenspan, Stanley I.</t>
        </is>
      </c>
      <c r="L1319" t="inlineStr">
        <is>
          <t>Reading, Mass. : Perseus Books, c1997.</t>
        </is>
      </c>
      <c r="M1319" t="inlineStr">
        <is>
          <t>1998</t>
        </is>
      </c>
      <c r="O1319" t="inlineStr">
        <is>
          <t>eng</t>
        </is>
      </c>
      <c r="P1319" t="inlineStr">
        <is>
          <t>mau</t>
        </is>
      </c>
      <c r="R1319" t="inlineStr">
        <is>
          <t xml:space="preserve">BF </t>
        </is>
      </c>
      <c r="S1319" t="n">
        <v>7</v>
      </c>
      <c r="T1319" t="n">
        <v>7</v>
      </c>
      <c r="U1319" t="inlineStr">
        <is>
          <t>2007-08-31</t>
        </is>
      </c>
      <c r="V1319" t="inlineStr">
        <is>
          <t>2007-08-31</t>
        </is>
      </c>
      <c r="W1319" t="inlineStr">
        <is>
          <t>1999-08-18</t>
        </is>
      </c>
      <c r="X1319" t="inlineStr">
        <is>
          <t>1999-08-18</t>
        </is>
      </c>
      <c r="Y1319" t="n">
        <v>214</v>
      </c>
      <c r="Z1319" t="n">
        <v>180</v>
      </c>
      <c r="AA1319" t="n">
        <v>932</v>
      </c>
      <c r="AB1319" t="n">
        <v>1</v>
      </c>
      <c r="AC1319" t="n">
        <v>5</v>
      </c>
      <c r="AD1319" t="n">
        <v>6</v>
      </c>
      <c r="AE1319" t="n">
        <v>33</v>
      </c>
      <c r="AF1319" t="n">
        <v>4</v>
      </c>
      <c r="AG1319" t="n">
        <v>14</v>
      </c>
      <c r="AH1319" t="n">
        <v>1</v>
      </c>
      <c r="AI1319" t="n">
        <v>7</v>
      </c>
      <c r="AJ1319" t="n">
        <v>3</v>
      </c>
      <c r="AK1319" t="n">
        <v>20</v>
      </c>
      <c r="AL1319" t="n">
        <v>0</v>
      </c>
      <c r="AM1319" t="n">
        <v>2</v>
      </c>
      <c r="AN1319" t="n">
        <v>0</v>
      </c>
      <c r="AO1319" t="n">
        <v>0</v>
      </c>
      <c r="AP1319" t="inlineStr">
        <is>
          <t>No</t>
        </is>
      </c>
      <c r="AQ1319" t="inlineStr">
        <is>
          <t>No</t>
        </is>
      </c>
      <c r="AS1319">
        <f>HYPERLINK("https://creighton-primo.hosted.exlibrisgroup.com/primo-explore/search?tab=default_tab&amp;search_scope=EVERYTHING&amp;vid=01CRU&amp;lang=en_US&amp;offset=0&amp;query=any,contains,991001565499702656","Catalog Record")</f>
        <v/>
      </c>
      <c r="AT1319">
        <f>HYPERLINK("http://www.worldcat.org/oclc/40334501","WorldCat Record")</f>
        <v/>
      </c>
    </row>
    <row r="1320">
      <c r="A1320" t="inlineStr">
        <is>
          <t>No</t>
        </is>
      </c>
      <c r="B1320" t="inlineStr">
        <is>
          <t>BF 311 R989a 1986</t>
        </is>
      </c>
      <c r="C1320" t="inlineStr">
        <is>
          <t>0                      BF 0311000R  989a        1986</t>
        </is>
      </c>
      <c r="D1320" t="inlineStr">
        <is>
          <t>Adult cognition and aging : developmental changes in processing, thinking, and knowing / John M. Rybash, William J. Hoyer, Paul A. Roodin.</t>
        </is>
      </c>
      <c r="F1320" t="inlineStr">
        <is>
          <t>No</t>
        </is>
      </c>
      <c r="G1320" t="inlineStr">
        <is>
          <t>1</t>
        </is>
      </c>
      <c r="H1320" t="inlineStr">
        <is>
          <t>Yes</t>
        </is>
      </c>
      <c r="I1320" t="inlineStr">
        <is>
          <t>No</t>
        </is>
      </c>
      <c r="J1320" t="inlineStr">
        <is>
          <t>0</t>
        </is>
      </c>
      <c r="K1320" t="inlineStr">
        <is>
          <t>Rybash, John M.</t>
        </is>
      </c>
      <c r="L1320" t="inlineStr">
        <is>
          <t>New York : Pergamon Press, c1986.</t>
        </is>
      </c>
      <c r="M1320" t="inlineStr">
        <is>
          <t>1986</t>
        </is>
      </c>
      <c r="O1320" t="inlineStr">
        <is>
          <t>eng</t>
        </is>
      </c>
      <c r="P1320" t="inlineStr">
        <is>
          <t>xxu</t>
        </is>
      </c>
      <c r="Q1320" t="inlineStr">
        <is>
          <t>Pergamon general psychology series ; 139</t>
        </is>
      </c>
      <c r="R1320" t="inlineStr">
        <is>
          <t xml:space="preserve">BF </t>
        </is>
      </c>
      <c r="S1320" t="n">
        <v>10</v>
      </c>
      <c r="T1320" t="n">
        <v>10</v>
      </c>
      <c r="U1320" t="inlineStr">
        <is>
          <t>2000-03-15</t>
        </is>
      </c>
      <c r="V1320" t="inlineStr">
        <is>
          <t>2000-03-15</t>
        </is>
      </c>
      <c r="W1320" t="inlineStr">
        <is>
          <t>1987-08-28</t>
        </is>
      </c>
      <c r="X1320" t="inlineStr">
        <is>
          <t>1987-08-28</t>
        </is>
      </c>
      <c r="Y1320" t="n">
        <v>613</v>
      </c>
      <c r="Z1320" t="n">
        <v>484</v>
      </c>
      <c r="AA1320" t="n">
        <v>486</v>
      </c>
      <c r="AB1320" t="n">
        <v>8</v>
      </c>
      <c r="AC1320" t="n">
        <v>8</v>
      </c>
      <c r="AD1320" t="n">
        <v>30</v>
      </c>
      <c r="AE1320" t="n">
        <v>30</v>
      </c>
      <c r="AF1320" t="n">
        <v>11</v>
      </c>
      <c r="AG1320" t="n">
        <v>11</v>
      </c>
      <c r="AH1320" t="n">
        <v>6</v>
      </c>
      <c r="AI1320" t="n">
        <v>6</v>
      </c>
      <c r="AJ1320" t="n">
        <v>16</v>
      </c>
      <c r="AK1320" t="n">
        <v>16</v>
      </c>
      <c r="AL1320" t="n">
        <v>6</v>
      </c>
      <c r="AM1320" t="n">
        <v>6</v>
      </c>
      <c r="AN1320" t="n">
        <v>0</v>
      </c>
      <c r="AO1320" t="n">
        <v>0</v>
      </c>
      <c r="AP1320" t="inlineStr">
        <is>
          <t>No</t>
        </is>
      </c>
      <c r="AQ1320" t="inlineStr">
        <is>
          <t>Yes</t>
        </is>
      </c>
      <c r="AR1320">
        <f>HYPERLINK("http://catalog.hathitrust.org/Record/000806073","HathiTrust Record")</f>
        <v/>
      </c>
      <c r="AS1320">
        <f>HYPERLINK("https://creighton-primo.hosted.exlibrisgroup.com/primo-explore/search?tab=default_tab&amp;search_scope=EVERYTHING&amp;vid=01CRU&amp;lang=en_US&amp;offset=0&amp;query=any,contains,991000787229702656","Catalog Record")</f>
        <v/>
      </c>
      <c r="AT1320">
        <f>HYPERLINK("http://www.worldcat.org/oclc/13524925","WorldCat Record")</f>
        <v/>
      </c>
    </row>
    <row r="1321">
      <c r="A1321" t="inlineStr">
        <is>
          <t>No</t>
        </is>
      </c>
      <c r="B1321" t="inlineStr">
        <is>
          <t>BF 335 C748c 1969</t>
        </is>
      </c>
      <c r="C1321" t="inlineStr">
        <is>
          <t>0                      BF 0335000C  748c        1969</t>
        </is>
      </c>
      <c r="D1321" t="inlineStr">
        <is>
          <t>Coping and adaptation / edited by George V. Coelho, David A. Hamburg, John E. Adams.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L1321" t="inlineStr">
        <is>
          <t>New York : Basic Books, c1974.</t>
        </is>
      </c>
      <c r="M1321" t="inlineStr">
        <is>
          <t>1974</t>
        </is>
      </c>
      <c r="O1321" t="inlineStr">
        <is>
          <t>eng</t>
        </is>
      </c>
      <c r="P1321" t="inlineStr">
        <is>
          <t>nyu</t>
        </is>
      </c>
      <c r="R1321" t="inlineStr">
        <is>
          <t xml:space="preserve">BF </t>
        </is>
      </c>
      <c r="S1321" t="n">
        <v>8</v>
      </c>
      <c r="T1321" t="n">
        <v>8</v>
      </c>
      <c r="U1321" t="inlineStr">
        <is>
          <t>1994-09-09</t>
        </is>
      </c>
      <c r="V1321" t="inlineStr">
        <is>
          <t>1994-09-09</t>
        </is>
      </c>
      <c r="W1321" t="inlineStr">
        <is>
          <t>1987-08-14</t>
        </is>
      </c>
      <c r="X1321" t="inlineStr">
        <is>
          <t>1987-08-14</t>
        </is>
      </c>
      <c r="Y1321" t="n">
        <v>602</v>
      </c>
      <c r="Z1321" t="n">
        <v>482</v>
      </c>
      <c r="AA1321" t="n">
        <v>484</v>
      </c>
      <c r="AB1321" t="n">
        <v>5</v>
      </c>
      <c r="AC1321" t="n">
        <v>5</v>
      </c>
      <c r="AD1321" t="n">
        <v>21</v>
      </c>
      <c r="AE1321" t="n">
        <v>21</v>
      </c>
      <c r="AF1321" t="n">
        <v>4</v>
      </c>
      <c r="AG1321" t="n">
        <v>4</v>
      </c>
      <c r="AH1321" t="n">
        <v>5</v>
      </c>
      <c r="AI1321" t="n">
        <v>5</v>
      </c>
      <c r="AJ1321" t="n">
        <v>13</v>
      </c>
      <c r="AK1321" t="n">
        <v>13</v>
      </c>
      <c r="AL1321" t="n">
        <v>3</v>
      </c>
      <c r="AM1321" t="n">
        <v>3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Yes</t>
        </is>
      </c>
      <c r="AR1321">
        <f>HYPERLINK("http://catalog.hathitrust.org/Record/000031716","HathiTrust Record")</f>
        <v/>
      </c>
      <c r="AS1321">
        <f>HYPERLINK("https://creighton-primo.hosted.exlibrisgroup.com/primo-explore/search?tab=default_tab&amp;search_scope=EVERYTHING&amp;vid=01CRU&amp;lang=en_US&amp;offset=0&amp;query=any,contains,991000695719702656","Catalog Record")</f>
        <v/>
      </c>
      <c r="AT1321">
        <f>HYPERLINK("http://www.worldcat.org/oclc/1098728","WorldCat Record")</f>
        <v/>
      </c>
    </row>
    <row r="1322">
      <c r="A1322" t="inlineStr">
        <is>
          <t>No</t>
        </is>
      </c>
      <c r="B1322" t="inlineStr">
        <is>
          <t>BF 335 C7828 1987</t>
        </is>
      </c>
      <c r="C1322" t="inlineStr">
        <is>
          <t>0                      BF 0335000C  7828        1987</t>
        </is>
      </c>
      <c r="D1322" t="inlineStr">
        <is>
          <t>Coping with negative life events : clinical and social psychological perspectives / edited by C.R. Snyder and Carol E. Ford.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L1322" t="inlineStr">
        <is>
          <t>New York : Plenum Press, c1987.</t>
        </is>
      </c>
      <c r="M1322" t="inlineStr">
        <is>
          <t>1987</t>
        </is>
      </c>
      <c r="O1322" t="inlineStr">
        <is>
          <t>eng</t>
        </is>
      </c>
      <c r="P1322" t="inlineStr">
        <is>
          <t>xxu</t>
        </is>
      </c>
      <c r="Q1322" t="inlineStr">
        <is>
          <t>The Plenum series on stress and coping.</t>
        </is>
      </c>
      <c r="R1322" t="inlineStr">
        <is>
          <t xml:space="preserve">BF </t>
        </is>
      </c>
      <c r="S1322" t="n">
        <v>7</v>
      </c>
      <c r="T1322" t="n">
        <v>7</v>
      </c>
      <c r="U1322" t="inlineStr">
        <is>
          <t>1997-09-23</t>
        </is>
      </c>
      <c r="V1322" t="inlineStr">
        <is>
          <t>1997-09-23</t>
        </is>
      </c>
      <c r="W1322" t="inlineStr">
        <is>
          <t>1987-10-28</t>
        </is>
      </c>
      <c r="X1322" t="inlineStr">
        <is>
          <t>1987-10-28</t>
        </is>
      </c>
      <c r="Y1322" t="n">
        <v>596</v>
      </c>
      <c r="Z1322" t="n">
        <v>462</v>
      </c>
      <c r="AA1322" t="n">
        <v>479</v>
      </c>
      <c r="AB1322" t="n">
        <v>3</v>
      </c>
      <c r="AC1322" t="n">
        <v>3</v>
      </c>
      <c r="AD1322" t="n">
        <v>23</v>
      </c>
      <c r="AE1322" t="n">
        <v>25</v>
      </c>
      <c r="AF1322" t="n">
        <v>10</v>
      </c>
      <c r="AG1322" t="n">
        <v>12</v>
      </c>
      <c r="AH1322" t="n">
        <v>6</v>
      </c>
      <c r="AI1322" t="n">
        <v>6</v>
      </c>
      <c r="AJ1322" t="n">
        <v>11</v>
      </c>
      <c r="AK1322" t="n">
        <v>12</v>
      </c>
      <c r="AL1322" t="n">
        <v>2</v>
      </c>
      <c r="AM1322" t="n">
        <v>2</v>
      </c>
      <c r="AN1322" t="n">
        <v>0</v>
      </c>
      <c r="AO1322" t="n">
        <v>0</v>
      </c>
      <c r="AP1322" t="inlineStr">
        <is>
          <t>No</t>
        </is>
      </c>
      <c r="AQ1322" t="inlineStr">
        <is>
          <t>Yes</t>
        </is>
      </c>
      <c r="AR1322">
        <f>HYPERLINK("http://catalog.hathitrust.org/Record/000838482","HathiTrust Record")</f>
        <v/>
      </c>
      <c r="AS1322">
        <f>HYPERLINK("https://creighton-primo.hosted.exlibrisgroup.com/primo-explore/search?tab=default_tab&amp;search_scope=EVERYTHING&amp;vid=01CRU&amp;lang=en_US&amp;offset=0&amp;query=any,contains,991001529209702656","Catalog Record")</f>
        <v/>
      </c>
      <c r="AT1322">
        <f>HYPERLINK("http://www.worldcat.org/oclc/15317472","WorldCat Record")</f>
        <v/>
      </c>
    </row>
    <row r="1323">
      <c r="A1323" t="inlineStr">
        <is>
          <t>No</t>
        </is>
      </c>
      <c r="B1323" t="inlineStr">
        <is>
          <t>BF 371 E93 1984</t>
        </is>
      </c>
      <c r="C1323" t="inlineStr">
        <is>
          <t>0                      BF 0371000E  93          1984</t>
        </is>
      </c>
      <c r="D1323" t="inlineStr">
        <is>
          <t>Everyday memory : actions and absent-mindedness / edited by J.E. Harris, P.E. Morris.</t>
        </is>
      </c>
      <c r="F1323" t="inlineStr">
        <is>
          <t>No</t>
        </is>
      </c>
      <c r="G1323" t="inlineStr">
        <is>
          <t>1</t>
        </is>
      </c>
      <c r="H1323" t="inlineStr">
        <is>
          <t>Yes</t>
        </is>
      </c>
      <c r="I1323" t="inlineStr">
        <is>
          <t>No</t>
        </is>
      </c>
      <c r="J1323" t="inlineStr">
        <is>
          <t>0</t>
        </is>
      </c>
      <c r="L1323" t="inlineStr">
        <is>
          <t>London ; Orlando : Academic Press, c1984.</t>
        </is>
      </c>
      <c r="M1323" t="inlineStr">
        <is>
          <t>1984</t>
        </is>
      </c>
      <c r="O1323" t="inlineStr">
        <is>
          <t>eng</t>
        </is>
      </c>
      <c r="P1323" t="inlineStr">
        <is>
          <t>enk</t>
        </is>
      </c>
      <c r="R1323" t="inlineStr">
        <is>
          <t xml:space="preserve">BF </t>
        </is>
      </c>
      <c r="S1323" t="n">
        <v>9</v>
      </c>
      <c r="T1323" t="n">
        <v>9</v>
      </c>
      <c r="U1323" t="inlineStr">
        <is>
          <t>1993-03-03</t>
        </is>
      </c>
      <c r="V1323" t="inlineStr">
        <is>
          <t>1993-03-03</t>
        </is>
      </c>
      <c r="W1323" t="inlineStr">
        <is>
          <t>1987-08-28</t>
        </is>
      </c>
      <c r="X1323" t="inlineStr">
        <is>
          <t>1987-08-28</t>
        </is>
      </c>
      <c r="Y1323" t="n">
        <v>519</v>
      </c>
      <c r="Z1323" t="n">
        <v>356</v>
      </c>
      <c r="AA1323" t="n">
        <v>358</v>
      </c>
      <c r="AB1323" t="n">
        <v>4</v>
      </c>
      <c r="AC1323" t="n">
        <v>4</v>
      </c>
      <c r="AD1323" t="n">
        <v>16</v>
      </c>
      <c r="AE1323" t="n">
        <v>16</v>
      </c>
      <c r="AF1323" t="n">
        <v>5</v>
      </c>
      <c r="AG1323" t="n">
        <v>5</v>
      </c>
      <c r="AH1323" t="n">
        <v>6</v>
      </c>
      <c r="AI1323" t="n">
        <v>6</v>
      </c>
      <c r="AJ1323" t="n">
        <v>8</v>
      </c>
      <c r="AK1323" t="n">
        <v>8</v>
      </c>
      <c r="AL1323" t="n">
        <v>2</v>
      </c>
      <c r="AM1323" t="n">
        <v>2</v>
      </c>
      <c r="AN1323" t="n">
        <v>0</v>
      </c>
      <c r="AO1323" t="n">
        <v>0</v>
      </c>
      <c r="AP1323" t="inlineStr">
        <is>
          <t>No</t>
        </is>
      </c>
      <c r="AQ1323" t="inlineStr">
        <is>
          <t>Yes</t>
        </is>
      </c>
      <c r="AR1323">
        <f>HYPERLINK("http://catalog.hathitrust.org/Record/000404538","HathiTrust Record")</f>
        <v/>
      </c>
      <c r="AS1323">
        <f>HYPERLINK("https://creighton-primo.hosted.exlibrisgroup.com/primo-explore/search?tab=default_tab&amp;search_scope=EVERYTHING&amp;vid=01CRU&amp;lang=en_US&amp;offset=0&amp;query=any,contains,991000787429702656","Catalog Record")</f>
        <v/>
      </c>
      <c r="AT1323">
        <f>HYPERLINK("http://www.worldcat.org/oclc/12081159","WorldCat Record")</f>
        <v/>
      </c>
    </row>
    <row r="1324">
      <c r="A1324" t="inlineStr">
        <is>
          <t>No</t>
        </is>
      </c>
      <c r="B1324" t="inlineStr">
        <is>
          <t>BF 371 P895 1987</t>
        </is>
      </c>
      <c r="C1324" t="inlineStr">
        <is>
          <t>0                      BF 0371000P  895         1987</t>
        </is>
      </c>
      <c r="D1324" t="inlineStr">
        <is>
          <t>Practical aspects of memory : current research and issues / edited by M.M. Gruneberg, P.E. Morris, R.N. Sykes.</t>
        </is>
      </c>
      <c r="E1324" t="inlineStr">
        <is>
          <t>V. 1</t>
        </is>
      </c>
      <c r="F1324" t="inlineStr">
        <is>
          <t>Yes</t>
        </is>
      </c>
      <c r="G1324" t="inlineStr">
        <is>
          <t>1</t>
        </is>
      </c>
      <c r="H1324" t="inlineStr">
        <is>
          <t>No</t>
        </is>
      </c>
      <c r="I1324" t="inlineStr">
        <is>
          <t>No</t>
        </is>
      </c>
      <c r="J1324" t="inlineStr">
        <is>
          <t>0</t>
        </is>
      </c>
      <c r="L1324" t="inlineStr">
        <is>
          <t>New York : Wiley, c1988.</t>
        </is>
      </c>
      <c r="M1324" t="inlineStr">
        <is>
          <t>1988</t>
        </is>
      </c>
      <c r="O1324" t="inlineStr">
        <is>
          <t>eng</t>
        </is>
      </c>
      <c r="P1324" t="inlineStr">
        <is>
          <t>xxu</t>
        </is>
      </c>
      <c r="R1324" t="inlineStr">
        <is>
          <t xml:space="preserve">BF </t>
        </is>
      </c>
      <c r="S1324" t="n">
        <v>6</v>
      </c>
      <c r="T1324" t="n">
        <v>11</v>
      </c>
      <c r="U1324" t="inlineStr">
        <is>
          <t>2010-06-02</t>
        </is>
      </c>
      <c r="V1324" t="inlineStr">
        <is>
          <t>2010-06-02</t>
        </is>
      </c>
      <c r="W1324" t="inlineStr">
        <is>
          <t>1989-02-24</t>
        </is>
      </c>
      <c r="X1324" t="inlineStr">
        <is>
          <t>1989-02-24</t>
        </is>
      </c>
      <c r="Y1324" t="n">
        <v>301</v>
      </c>
      <c r="Z1324" t="n">
        <v>209</v>
      </c>
      <c r="AA1324" t="n">
        <v>211</v>
      </c>
      <c r="AB1324" t="n">
        <v>2</v>
      </c>
      <c r="AC1324" t="n">
        <v>2</v>
      </c>
      <c r="AD1324" t="n">
        <v>9</v>
      </c>
      <c r="AE1324" t="n">
        <v>9</v>
      </c>
      <c r="AF1324" t="n">
        <v>1</v>
      </c>
      <c r="AG1324" t="n">
        <v>1</v>
      </c>
      <c r="AH1324" t="n">
        <v>3</v>
      </c>
      <c r="AI1324" t="n">
        <v>3</v>
      </c>
      <c r="AJ1324" t="n">
        <v>7</v>
      </c>
      <c r="AK1324" t="n">
        <v>7</v>
      </c>
      <c r="AL1324" t="n">
        <v>1</v>
      </c>
      <c r="AM1324" t="n">
        <v>1</v>
      </c>
      <c r="AN1324" t="n">
        <v>0</v>
      </c>
      <c r="AO1324" t="n">
        <v>0</v>
      </c>
      <c r="AP1324" t="inlineStr">
        <is>
          <t>No</t>
        </is>
      </c>
      <c r="AQ1324" t="inlineStr">
        <is>
          <t>Yes</t>
        </is>
      </c>
      <c r="AR1324">
        <f>HYPERLINK("http://catalog.hathitrust.org/Record/000844322","HathiTrust Record")</f>
        <v/>
      </c>
      <c r="AS1324">
        <f>HYPERLINK("https://creighton-primo.hosted.exlibrisgroup.com/primo-explore/search?tab=default_tab&amp;search_scope=EVERYTHING&amp;vid=01CRU&amp;lang=en_US&amp;offset=0&amp;query=any,contains,991001240389702656","Catalog Record")</f>
        <v/>
      </c>
      <c r="AT1324">
        <f>HYPERLINK("http://www.worldcat.org/oclc/17300366","WorldCat Record")</f>
        <v/>
      </c>
    </row>
    <row r="1325">
      <c r="A1325" t="inlineStr">
        <is>
          <t>No</t>
        </is>
      </c>
      <c r="B1325" t="inlineStr">
        <is>
          <t>BF 371 P895 1987</t>
        </is>
      </c>
      <c r="C1325" t="inlineStr">
        <is>
          <t>0                      BF 0371000P  895         1987</t>
        </is>
      </c>
      <c r="D1325" t="inlineStr">
        <is>
          <t>Practical aspects of memory : current research and issues / edited by M.M. Gruneberg, P.E. Morris, R.N. Sykes.</t>
        </is>
      </c>
      <c r="E1325" t="inlineStr">
        <is>
          <t>V. 2</t>
        </is>
      </c>
      <c r="F1325" t="inlineStr">
        <is>
          <t>Yes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L1325" t="inlineStr">
        <is>
          <t>New York : Wiley, c1988.</t>
        </is>
      </c>
      <c r="M1325" t="inlineStr">
        <is>
          <t>1988</t>
        </is>
      </c>
      <c r="O1325" t="inlineStr">
        <is>
          <t>eng</t>
        </is>
      </c>
      <c r="P1325" t="inlineStr">
        <is>
          <t>xxu</t>
        </is>
      </c>
      <c r="R1325" t="inlineStr">
        <is>
          <t xml:space="preserve">BF </t>
        </is>
      </c>
      <c r="S1325" t="n">
        <v>5</v>
      </c>
      <c r="T1325" t="n">
        <v>11</v>
      </c>
      <c r="U1325" t="inlineStr">
        <is>
          <t>1994-04-13</t>
        </is>
      </c>
      <c r="V1325" t="inlineStr">
        <is>
          <t>2010-06-02</t>
        </is>
      </c>
      <c r="W1325" t="inlineStr">
        <is>
          <t>1989-02-24</t>
        </is>
      </c>
      <c r="X1325" t="inlineStr">
        <is>
          <t>1989-02-24</t>
        </is>
      </c>
      <c r="Y1325" t="n">
        <v>301</v>
      </c>
      <c r="Z1325" t="n">
        <v>209</v>
      </c>
      <c r="AA1325" t="n">
        <v>211</v>
      </c>
      <c r="AB1325" t="n">
        <v>2</v>
      </c>
      <c r="AC1325" t="n">
        <v>2</v>
      </c>
      <c r="AD1325" t="n">
        <v>9</v>
      </c>
      <c r="AE1325" t="n">
        <v>9</v>
      </c>
      <c r="AF1325" t="n">
        <v>1</v>
      </c>
      <c r="AG1325" t="n">
        <v>1</v>
      </c>
      <c r="AH1325" t="n">
        <v>3</v>
      </c>
      <c r="AI1325" t="n">
        <v>3</v>
      </c>
      <c r="AJ1325" t="n">
        <v>7</v>
      </c>
      <c r="AK1325" t="n">
        <v>7</v>
      </c>
      <c r="AL1325" t="n">
        <v>1</v>
      </c>
      <c r="AM1325" t="n">
        <v>1</v>
      </c>
      <c r="AN1325" t="n">
        <v>0</v>
      </c>
      <c r="AO1325" t="n">
        <v>0</v>
      </c>
      <c r="AP1325" t="inlineStr">
        <is>
          <t>No</t>
        </is>
      </c>
      <c r="AQ1325" t="inlineStr">
        <is>
          <t>Yes</t>
        </is>
      </c>
      <c r="AR1325">
        <f>HYPERLINK("http://catalog.hathitrust.org/Record/000844322","HathiTrust Record")</f>
        <v/>
      </c>
      <c r="AS1325">
        <f>HYPERLINK("https://creighton-primo.hosted.exlibrisgroup.com/primo-explore/search?tab=default_tab&amp;search_scope=EVERYTHING&amp;vid=01CRU&amp;lang=en_US&amp;offset=0&amp;query=any,contains,991001240389702656","Catalog Record")</f>
        <v/>
      </c>
      <c r="AT1325">
        <f>HYPERLINK("http://www.worldcat.org/oclc/17300366","WorldCat Record")</f>
        <v/>
      </c>
    </row>
    <row r="1326">
      <c r="A1326" t="inlineStr">
        <is>
          <t>No</t>
        </is>
      </c>
      <c r="B1326" t="inlineStr">
        <is>
          <t>BF 378.S54 N532 2008</t>
        </is>
      </c>
      <c r="C1326" t="inlineStr">
        <is>
          <t>0                      BF 0378000S  54                 N  532         2008</t>
        </is>
      </c>
      <c r="D1326" t="inlineStr">
        <is>
          <t>New research on short-term memory / Noah B. Johansen, editor.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L1326" t="inlineStr">
        <is>
          <t>New York : Nova Biomedical Books, c2008.</t>
        </is>
      </c>
      <c r="M1326" t="inlineStr">
        <is>
          <t>2008</t>
        </is>
      </c>
      <c r="O1326" t="inlineStr">
        <is>
          <t>eng</t>
        </is>
      </c>
      <c r="P1326" t="inlineStr">
        <is>
          <t>nyu</t>
        </is>
      </c>
      <c r="R1326" t="inlineStr">
        <is>
          <t xml:space="preserve">BF </t>
        </is>
      </c>
      <c r="S1326" t="n">
        <v>0</v>
      </c>
      <c r="T1326" t="n">
        <v>0</v>
      </c>
      <c r="U1326" t="inlineStr">
        <is>
          <t>2009-05-21</t>
        </is>
      </c>
      <c r="V1326" t="inlineStr">
        <is>
          <t>2009-05-21</t>
        </is>
      </c>
      <c r="W1326" t="inlineStr">
        <is>
          <t>2009-05-21</t>
        </is>
      </c>
      <c r="X1326" t="inlineStr">
        <is>
          <t>2009-05-21</t>
        </is>
      </c>
      <c r="Y1326" t="n">
        <v>96</v>
      </c>
      <c r="Z1326" t="n">
        <v>63</v>
      </c>
      <c r="AA1326" t="n">
        <v>68</v>
      </c>
      <c r="AB1326" t="n">
        <v>1</v>
      </c>
      <c r="AC1326" t="n">
        <v>1</v>
      </c>
      <c r="AD1326" t="n">
        <v>3</v>
      </c>
      <c r="AE1326" t="n">
        <v>3</v>
      </c>
      <c r="AF1326" t="n">
        <v>0</v>
      </c>
      <c r="AG1326" t="n">
        <v>0</v>
      </c>
      <c r="AH1326" t="n">
        <v>2</v>
      </c>
      <c r="AI1326" t="n">
        <v>2</v>
      </c>
      <c r="AJ1326" t="n">
        <v>3</v>
      </c>
      <c r="AK1326" t="n">
        <v>3</v>
      </c>
      <c r="AL1326" t="n">
        <v>0</v>
      </c>
      <c r="AM1326" t="n">
        <v>0</v>
      </c>
      <c r="AN1326" t="n">
        <v>0</v>
      </c>
      <c r="AO1326" t="n">
        <v>0</v>
      </c>
      <c r="AP1326" t="inlineStr">
        <is>
          <t>No</t>
        </is>
      </c>
      <c r="AQ1326" t="inlineStr">
        <is>
          <t>No</t>
        </is>
      </c>
      <c r="AS1326">
        <f>HYPERLINK("https://creighton-primo.hosted.exlibrisgroup.com/primo-explore/search?tab=default_tab&amp;search_scope=EVERYTHING&amp;vid=01CRU&amp;lang=en_US&amp;offset=0&amp;query=any,contains,991001462449702656","Catalog Record")</f>
        <v/>
      </c>
      <c r="AT1326">
        <f>HYPERLINK("http://www.worldcat.org/oclc/213466507","WorldCat Record")</f>
        <v/>
      </c>
    </row>
    <row r="1327">
      <c r="A1327" t="inlineStr">
        <is>
          <t>No</t>
        </is>
      </c>
      <c r="B1327" t="inlineStr">
        <is>
          <t>BF 39 H859s 1997</t>
        </is>
      </c>
      <c r="C1327" t="inlineStr">
        <is>
          <t>0                      BF 0039000H  859s        1997</t>
        </is>
      </c>
      <c r="D1327" t="inlineStr">
        <is>
          <t>Statistical methods for psychology / David C. Howell.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K1327" t="inlineStr">
        <is>
          <t>Howell, David C.</t>
        </is>
      </c>
      <c r="L1327" t="inlineStr">
        <is>
          <t>Belmont, CA : Duxbury Press, c1997.</t>
        </is>
      </c>
      <c r="M1327" t="inlineStr">
        <is>
          <t>1997</t>
        </is>
      </c>
      <c r="N1327" t="inlineStr">
        <is>
          <t>4th ed.</t>
        </is>
      </c>
      <c r="O1327" t="inlineStr">
        <is>
          <t>eng</t>
        </is>
      </c>
      <c r="P1327" t="inlineStr">
        <is>
          <t>cau</t>
        </is>
      </c>
      <c r="R1327" t="inlineStr">
        <is>
          <t xml:space="preserve">BF </t>
        </is>
      </c>
      <c r="S1327" t="n">
        <v>12</v>
      </c>
      <c r="T1327" t="n">
        <v>12</v>
      </c>
      <c r="U1327" t="inlineStr">
        <is>
          <t>2001-03-23</t>
        </is>
      </c>
      <c r="V1327" t="inlineStr">
        <is>
          <t>2001-03-23</t>
        </is>
      </c>
      <c r="W1327" t="inlineStr">
        <is>
          <t>1999-12-17</t>
        </is>
      </c>
      <c r="X1327" t="inlineStr">
        <is>
          <t>1999-12-17</t>
        </is>
      </c>
      <c r="Y1327" t="n">
        <v>139</v>
      </c>
      <c r="Z1327" t="n">
        <v>59</v>
      </c>
      <c r="AA1327" t="n">
        <v>441</v>
      </c>
      <c r="AB1327" t="n">
        <v>1</v>
      </c>
      <c r="AC1327" t="n">
        <v>2</v>
      </c>
      <c r="AD1327" t="n">
        <v>4</v>
      </c>
      <c r="AE1327" t="n">
        <v>16</v>
      </c>
      <c r="AF1327" t="n">
        <v>2</v>
      </c>
      <c r="AG1327" t="n">
        <v>5</v>
      </c>
      <c r="AH1327" t="n">
        <v>1</v>
      </c>
      <c r="AI1327" t="n">
        <v>4</v>
      </c>
      <c r="AJ1327" t="n">
        <v>3</v>
      </c>
      <c r="AK1327" t="n">
        <v>10</v>
      </c>
      <c r="AL1327" t="n">
        <v>0</v>
      </c>
      <c r="AM1327" t="n">
        <v>1</v>
      </c>
      <c r="AN1327" t="n">
        <v>0</v>
      </c>
      <c r="AO1327" t="n">
        <v>0</v>
      </c>
      <c r="AP1327" t="inlineStr">
        <is>
          <t>No</t>
        </is>
      </c>
      <c r="AQ1327" t="inlineStr">
        <is>
          <t>No</t>
        </is>
      </c>
      <c r="AS1327">
        <f>HYPERLINK("https://creighton-primo.hosted.exlibrisgroup.com/primo-explore/search?tab=default_tab&amp;search_scope=EVERYTHING&amp;vid=01CRU&amp;lang=en_US&amp;offset=0&amp;query=any,contains,991001411259702656","Catalog Record")</f>
        <v/>
      </c>
      <c r="AT1327">
        <f>HYPERLINK("http://www.worldcat.org/oclc/36103660","WorldCat Record")</f>
        <v/>
      </c>
    </row>
    <row r="1328">
      <c r="A1328" t="inlineStr">
        <is>
          <t>No</t>
        </is>
      </c>
      <c r="B1328" t="inlineStr">
        <is>
          <t>BF 408 D287¿ 1971</t>
        </is>
      </c>
      <c r="C1328" t="inlineStr">
        <is>
          <t>0                      BF 0408000                                                           D287¿ 1971</t>
        </is>
      </c>
      <c r="D1328" t="inlineStr">
        <is>
          <t>Lateral thinking for management : a handbook of creativity / Edward de Bono.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K1328" t="inlineStr">
        <is>
          <t>De Bono, Edward, 1933-</t>
        </is>
      </c>
      <c r="L1328" t="inlineStr">
        <is>
          <t>-- New York : American Management Association, c1971.</t>
        </is>
      </c>
      <c r="M1328" t="inlineStr">
        <is>
          <t>1971</t>
        </is>
      </c>
      <c r="O1328" t="inlineStr">
        <is>
          <t>eng</t>
        </is>
      </c>
      <c r="P1328" t="inlineStr">
        <is>
          <t>nyu</t>
        </is>
      </c>
      <c r="R1328" t="inlineStr">
        <is>
          <t xml:space="preserve">BF </t>
        </is>
      </c>
      <c r="S1328" t="n">
        <v>1</v>
      </c>
      <c r="T1328" t="n">
        <v>1</v>
      </c>
      <c r="U1328" t="inlineStr">
        <is>
          <t>1988-10-19</t>
        </is>
      </c>
      <c r="V1328" t="inlineStr">
        <is>
          <t>1988-10-19</t>
        </is>
      </c>
      <c r="W1328" t="inlineStr">
        <is>
          <t>1987-12-29</t>
        </is>
      </c>
      <c r="X1328" t="inlineStr">
        <is>
          <t>1987-12-29</t>
        </is>
      </c>
      <c r="Y1328" t="n">
        <v>360</v>
      </c>
      <c r="Z1328" t="n">
        <v>303</v>
      </c>
      <c r="AA1328" t="n">
        <v>308</v>
      </c>
      <c r="AB1328" t="n">
        <v>3</v>
      </c>
      <c r="AC1328" t="n">
        <v>3</v>
      </c>
      <c r="AD1328" t="n">
        <v>12</v>
      </c>
      <c r="AE1328" t="n">
        <v>12</v>
      </c>
      <c r="AF1328" t="n">
        <v>2</v>
      </c>
      <c r="AG1328" t="n">
        <v>2</v>
      </c>
      <c r="AH1328" t="n">
        <v>1</v>
      </c>
      <c r="AI1328" t="n">
        <v>1</v>
      </c>
      <c r="AJ1328" t="n">
        <v>8</v>
      </c>
      <c r="AK1328" t="n">
        <v>8</v>
      </c>
      <c r="AL1328" t="n">
        <v>2</v>
      </c>
      <c r="AM1328" t="n">
        <v>2</v>
      </c>
      <c r="AN1328" t="n">
        <v>0</v>
      </c>
      <c r="AO1328" t="n">
        <v>0</v>
      </c>
      <c r="AP1328" t="inlineStr">
        <is>
          <t>No</t>
        </is>
      </c>
      <c r="AQ1328" t="inlineStr">
        <is>
          <t>No</t>
        </is>
      </c>
      <c r="AS1328">
        <f>HYPERLINK("https://creighton-primo.hosted.exlibrisgroup.com/primo-explore/search?tab=default_tab&amp;search_scope=EVERYTHING&amp;vid=01CRU&amp;lang=en_US&amp;offset=0&amp;query=any,contains,991000787469702656","Catalog Record")</f>
        <v/>
      </c>
      <c r="AT1328">
        <f>HYPERLINK("http://www.worldcat.org/oclc/320754","WorldCat Record")</f>
        <v/>
      </c>
    </row>
    <row r="1329">
      <c r="A1329" t="inlineStr">
        <is>
          <t>No</t>
        </is>
      </c>
      <c r="B1329" t="inlineStr">
        <is>
          <t>BF 431 A291A 1987</t>
        </is>
      </c>
      <c r="C1329" t="inlineStr">
        <is>
          <t>0                      BF 0431000A  291A        1987</t>
        </is>
      </c>
      <c r="D1329" t="inlineStr">
        <is>
          <t>Assessment of intellectual functioning / Lewis R. Aiken.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K1329" t="inlineStr">
        <is>
          <t>Aiken, Lewis R., 1931-</t>
        </is>
      </c>
      <c r="L1329" t="inlineStr">
        <is>
          <t>Boston : Allyn and Bacon, c1987.</t>
        </is>
      </c>
      <c r="M1329" t="inlineStr">
        <is>
          <t>1987</t>
        </is>
      </c>
      <c r="O1329" t="inlineStr">
        <is>
          <t>eng</t>
        </is>
      </c>
      <c r="P1329" t="inlineStr">
        <is>
          <t>xxu</t>
        </is>
      </c>
      <c r="R1329" t="inlineStr">
        <is>
          <t xml:space="preserve">BF </t>
        </is>
      </c>
      <c r="S1329" t="n">
        <v>9</v>
      </c>
      <c r="T1329" t="n">
        <v>9</v>
      </c>
      <c r="U1329" t="inlineStr">
        <is>
          <t>1995-03-26</t>
        </is>
      </c>
      <c r="V1329" t="inlineStr">
        <is>
          <t>1995-03-26</t>
        </is>
      </c>
      <c r="W1329" t="inlineStr">
        <is>
          <t>1988-01-05</t>
        </is>
      </c>
      <c r="X1329" t="inlineStr">
        <is>
          <t>1988-01-05</t>
        </is>
      </c>
      <c r="Y1329" t="n">
        <v>200</v>
      </c>
      <c r="Z1329" t="n">
        <v>141</v>
      </c>
      <c r="AA1329" t="n">
        <v>308</v>
      </c>
      <c r="AB1329" t="n">
        <v>2</v>
      </c>
      <c r="AC1329" t="n">
        <v>2</v>
      </c>
      <c r="AD1329" t="n">
        <v>9</v>
      </c>
      <c r="AE1329" t="n">
        <v>15</v>
      </c>
      <c r="AF1329" t="n">
        <v>3</v>
      </c>
      <c r="AG1329" t="n">
        <v>6</v>
      </c>
      <c r="AH1329" t="n">
        <v>3</v>
      </c>
      <c r="AI1329" t="n">
        <v>5</v>
      </c>
      <c r="AJ1329" t="n">
        <v>5</v>
      </c>
      <c r="AK1329" t="n">
        <v>10</v>
      </c>
      <c r="AL1329" t="n">
        <v>1</v>
      </c>
      <c r="AM1329" t="n">
        <v>1</v>
      </c>
      <c r="AN1329" t="n">
        <v>0</v>
      </c>
      <c r="AO1329" t="n">
        <v>0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HYPERLINK("https://creighton-primo.hosted.exlibrisgroup.com/primo-explore/search?tab=default_tab&amp;search_scope=EVERYTHING&amp;vid=01CRU&amp;lang=en_US&amp;offset=0&amp;query=any,contains,991001536169702656","Catalog Record")</f>
        <v/>
      </c>
      <c r="AT1329">
        <f>HYPERLINK("http://www.worldcat.org/oclc/13665976","WorldCat Record")</f>
        <v/>
      </c>
    </row>
    <row r="1330">
      <c r="A1330" t="inlineStr">
        <is>
          <t>No</t>
        </is>
      </c>
      <c r="B1330" t="inlineStr">
        <is>
          <t>BF 431 F199I 1985</t>
        </is>
      </c>
      <c r="C1330" t="inlineStr">
        <is>
          <t>0                      BF 0431000F  199I        1985</t>
        </is>
      </c>
      <c r="D1330" t="inlineStr">
        <is>
          <t>The intelligence men : makers of the I.Q. controversy / Raymond E. Fancher.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K1330" t="inlineStr">
        <is>
          <t>Fancher, Raymond E.</t>
        </is>
      </c>
      <c r="L1330" t="inlineStr">
        <is>
          <t>New York : Norton, c1985.</t>
        </is>
      </c>
      <c r="M1330" t="inlineStr">
        <is>
          <t>1985</t>
        </is>
      </c>
      <c r="N1330" t="inlineStr">
        <is>
          <t>1st ed.</t>
        </is>
      </c>
      <c r="O1330" t="inlineStr">
        <is>
          <t>eng</t>
        </is>
      </c>
      <c r="P1330" t="inlineStr">
        <is>
          <t>nyu</t>
        </is>
      </c>
      <c r="R1330" t="inlineStr">
        <is>
          <t xml:space="preserve">BF </t>
        </is>
      </c>
      <c r="S1330" t="n">
        <v>5</v>
      </c>
      <c r="T1330" t="n">
        <v>5</v>
      </c>
      <c r="U1330" t="inlineStr">
        <is>
          <t>1999-09-26</t>
        </is>
      </c>
      <c r="V1330" t="inlineStr">
        <is>
          <t>1999-09-26</t>
        </is>
      </c>
      <c r="W1330" t="inlineStr">
        <is>
          <t>1987-08-28</t>
        </is>
      </c>
      <c r="X1330" t="inlineStr">
        <is>
          <t>1987-08-28</t>
        </is>
      </c>
      <c r="Y1330" t="n">
        <v>1087</v>
      </c>
      <c r="Z1330" t="n">
        <v>958</v>
      </c>
      <c r="AA1330" t="n">
        <v>999</v>
      </c>
      <c r="AB1330" t="n">
        <v>9</v>
      </c>
      <c r="AC1330" t="n">
        <v>9</v>
      </c>
      <c r="AD1330" t="n">
        <v>32</v>
      </c>
      <c r="AE1330" t="n">
        <v>34</v>
      </c>
      <c r="AF1330" t="n">
        <v>12</v>
      </c>
      <c r="AG1330" t="n">
        <v>13</v>
      </c>
      <c r="AH1330" t="n">
        <v>6</v>
      </c>
      <c r="AI1330" t="n">
        <v>6</v>
      </c>
      <c r="AJ1330" t="n">
        <v>16</v>
      </c>
      <c r="AK1330" t="n">
        <v>17</v>
      </c>
      <c r="AL1330" t="n">
        <v>6</v>
      </c>
      <c r="AM1330" t="n">
        <v>6</v>
      </c>
      <c r="AN1330" t="n">
        <v>0</v>
      </c>
      <c r="AO1330" t="n">
        <v>0</v>
      </c>
      <c r="AP1330" t="inlineStr">
        <is>
          <t>No</t>
        </is>
      </c>
      <c r="AQ1330" t="inlineStr">
        <is>
          <t>No</t>
        </is>
      </c>
      <c r="AS1330">
        <f>HYPERLINK("https://creighton-primo.hosted.exlibrisgroup.com/primo-explore/search?tab=default_tab&amp;search_scope=EVERYTHING&amp;vid=01CRU&amp;lang=en_US&amp;offset=0&amp;query=any,contains,991000787549702656","Catalog Record")</f>
        <v/>
      </c>
      <c r="AT1330">
        <f>HYPERLINK("http://www.worldcat.org/oclc/11467960","WorldCat Record")</f>
        <v/>
      </c>
    </row>
    <row r="1331">
      <c r="A1331" t="inlineStr">
        <is>
          <t>No</t>
        </is>
      </c>
      <c r="B1331" t="inlineStr">
        <is>
          <t>BF 431 T319m 1916</t>
        </is>
      </c>
      <c r="C1331" t="inlineStr">
        <is>
          <t>0                      BF 0431000T  319m        1916</t>
        </is>
      </c>
      <c r="D1331" t="inlineStr">
        <is>
          <t>The measurement of intelligence; an explanation of and a complete guide for the use of the Stanford Revision and Extension of the Binet-Simon Intelligence Scale / by Lewis M. Terman.</t>
        </is>
      </c>
      <c r="F1331" t="inlineStr">
        <is>
          <t>No</t>
        </is>
      </c>
      <c r="G1331" t="inlineStr">
        <is>
          <t>1</t>
        </is>
      </c>
      <c r="H1331" t="inlineStr">
        <is>
          <t>Yes</t>
        </is>
      </c>
      <c r="I1331" t="inlineStr">
        <is>
          <t>No</t>
        </is>
      </c>
      <c r="J1331" t="inlineStr">
        <is>
          <t>0</t>
        </is>
      </c>
      <c r="K1331" t="inlineStr">
        <is>
          <t>Terman, Lewis M.</t>
        </is>
      </c>
      <c r="L1331" t="inlineStr">
        <is>
          <t>Boston : Houghton Mifflin, c1916.</t>
        </is>
      </c>
      <c r="M1331" t="inlineStr">
        <is>
          <t>1916</t>
        </is>
      </c>
      <c r="O1331" t="inlineStr">
        <is>
          <t>eng</t>
        </is>
      </c>
      <c r="P1331" t="inlineStr">
        <is>
          <t>mau</t>
        </is>
      </c>
      <c r="R1331" t="inlineStr">
        <is>
          <t xml:space="preserve">BF </t>
        </is>
      </c>
      <c r="S1331" t="n">
        <v>5</v>
      </c>
      <c r="T1331" t="n">
        <v>5</v>
      </c>
      <c r="U1331" t="inlineStr">
        <is>
          <t>1996-02-19</t>
        </is>
      </c>
      <c r="V1331" t="inlineStr">
        <is>
          <t>1996-02-19</t>
        </is>
      </c>
      <c r="W1331" t="inlineStr">
        <is>
          <t>1989-06-09</t>
        </is>
      </c>
      <c r="X1331" t="inlineStr">
        <is>
          <t>1989-06-09</t>
        </is>
      </c>
      <c r="Y1331" t="n">
        <v>599</v>
      </c>
      <c r="Z1331" t="n">
        <v>536</v>
      </c>
      <c r="AA1331" t="n">
        <v>677</v>
      </c>
      <c r="AB1331" t="n">
        <v>6</v>
      </c>
      <c r="AC1331" t="n">
        <v>9</v>
      </c>
      <c r="AD1331" t="n">
        <v>26</v>
      </c>
      <c r="AE1331" t="n">
        <v>34</v>
      </c>
      <c r="AF1331" t="n">
        <v>10</v>
      </c>
      <c r="AG1331" t="n">
        <v>13</v>
      </c>
      <c r="AH1331" t="n">
        <v>3</v>
      </c>
      <c r="AI1331" t="n">
        <v>6</v>
      </c>
      <c r="AJ1331" t="n">
        <v>14</v>
      </c>
      <c r="AK1331" t="n">
        <v>15</v>
      </c>
      <c r="AL1331" t="n">
        <v>4</v>
      </c>
      <c r="AM1331" t="n">
        <v>7</v>
      </c>
      <c r="AN1331" t="n">
        <v>0</v>
      </c>
      <c r="AO1331" t="n">
        <v>1</v>
      </c>
      <c r="AP1331" t="inlineStr">
        <is>
          <t>Yes</t>
        </is>
      </c>
      <c r="AQ1331" t="inlineStr">
        <is>
          <t>No</t>
        </is>
      </c>
      <c r="AR1331">
        <f>HYPERLINK("http://catalog.hathitrust.org/Record/000386088","HathiTrust Record")</f>
        <v/>
      </c>
      <c r="AS1331">
        <f>HYPERLINK("https://creighton-primo.hosted.exlibrisgroup.com/primo-explore/search?tab=default_tab&amp;search_scope=EVERYTHING&amp;vid=01CRU&amp;lang=en_US&amp;offset=0&amp;query=any,contains,991000787599702656","Catalog Record")</f>
        <v/>
      </c>
      <c r="AT1331">
        <f>HYPERLINK("http://www.worldcat.org/oclc/186102","WorldCat Record")</f>
        <v/>
      </c>
    </row>
    <row r="1332">
      <c r="A1332" t="inlineStr">
        <is>
          <t>No</t>
        </is>
      </c>
      <c r="B1332" t="inlineStr">
        <is>
          <t>BF 432.A1 R118 1975</t>
        </is>
      </c>
      <c r="C1332" t="inlineStr">
        <is>
          <t>0                      BF 0432000A  1                  R  118         1975</t>
        </is>
      </c>
      <c r="D1332" t="inlineStr">
        <is>
          <t>Race and IQ / edited by Ashley Montagu.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Yes</t>
        </is>
      </c>
      <c r="J1332" t="inlineStr">
        <is>
          <t>0</t>
        </is>
      </c>
      <c r="L1332" t="inlineStr">
        <is>
          <t>New York : Oxford University Press, 1975.</t>
        </is>
      </c>
      <c r="M1332" t="inlineStr">
        <is>
          <t>1975</t>
        </is>
      </c>
      <c r="O1332" t="inlineStr">
        <is>
          <t>eng</t>
        </is>
      </c>
      <c r="P1332" t="inlineStr">
        <is>
          <t>nyu</t>
        </is>
      </c>
      <c r="R1332" t="inlineStr">
        <is>
          <t xml:space="preserve">BF </t>
        </is>
      </c>
      <c r="S1332" t="n">
        <v>4</v>
      </c>
      <c r="T1332" t="n">
        <v>4</v>
      </c>
      <c r="U1332" t="inlineStr">
        <is>
          <t>1999-09-26</t>
        </is>
      </c>
      <c r="V1332" t="inlineStr">
        <is>
          <t>1999-09-26</t>
        </is>
      </c>
      <c r="W1332" t="inlineStr">
        <is>
          <t>1987-08-28</t>
        </is>
      </c>
      <c r="X1332" t="inlineStr">
        <is>
          <t>1987-08-28</t>
        </is>
      </c>
      <c r="Y1332" t="n">
        <v>1060</v>
      </c>
      <c r="Z1332" t="n">
        <v>884</v>
      </c>
      <c r="AA1332" t="n">
        <v>1200</v>
      </c>
      <c r="AB1332" t="n">
        <v>10</v>
      </c>
      <c r="AC1332" t="n">
        <v>13</v>
      </c>
      <c r="AD1332" t="n">
        <v>34</v>
      </c>
      <c r="AE1332" t="n">
        <v>46</v>
      </c>
      <c r="AF1332" t="n">
        <v>13</v>
      </c>
      <c r="AG1332" t="n">
        <v>18</v>
      </c>
      <c r="AH1332" t="n">
        <v>6</v>
      </c>
      <c r="AI1332" t="n">
        <v>7</v>
      </c>
      <c r="AJ1332" t="n">
        <v>15</v>
      </c>
      <c r="AK1332" t="n">
        <v>21</v>
      </c>
      <c r="AL1332" t="n">
        <v>7</v>
      </c>
      <c r="AM1332" t="n">
        <v>9</v>
      </c>
      <c r="AN1332" t="n">
        <v>0</v>
      </c>
      <c r="AO1332" t="n">
        <v>1</v>
      </c>
      <c r="AP1332" t="inlineStr">
        <is>
          <t>No</t>
        </is>
      </c>
      <c r="AQ1332" t="inlineStr">
        <is>
          <t>Yes</t>
        </is>
      </c>
      <c r="AR1332">
        <f>HYPERLINK("http://catalog.hathitrust.org/Record/000150042","HathiTrust Record")</f>
        <v/>
      </c>
      <c r="AS1332">
        <f>HYPERLINK("https://creighton-primo.hosted.exlibrisgroup.com/primo-explore/search?tab=default_tab&amp;search_scope=EVERYTHING&amp;vid=01CRU&amp;lang=en_US&amp;offset=0&amp;query=any,contains,991000787639702656","Catalog Record")</f>
        <v/>
      </c>
      <c r="AT1332">
        <f>HYPERLINK("http://www.worldcat.org/oclc/1302009","WorldCat Record")</f>
        <v/>
      </c>
    </row>
    <row r="1333">
      <c r="A1333" t="inlineStr">
        <is>
          <t>No</t>
        </is>
      </c>
      <c r="B1333" t="inlineStr">
        <is>
          <t>BF 441 E21c 2008</t>
        </is>
      </c>
      <c r="C1333" t="inlineStr">
        <is>
          <t>0                      BF 0441000E  21c         2008</t>
        </is>
      </c>
      <c r="D1333" t="inlineStr">
        <is>
          <t>Computing the mind : how the mind really works / Shimon Edelman.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1</t>
        </is>
      </c>
      <c r="K1333" t="inlineStr">
        <is>
          <t>Edelman, Shimon.</t>
        </is>
      </c>
      <c r="L1333" t="inlineStr">
        <is>
          <t>Oxford ; New York : Oxford University Press, c2008.</t>
        </is>
      </c>
      <c r="M1333" t="inlineStr">
        <is>
          <t>2008</t>
        </is>
      </c>
      <c r="O1333" t="inlineStr">
        <is>
          <t>eng</t>
        </is>
      </c>
      <c r="P1333" t="inlineStr">
        <is>
          <t>enk</t>
        </is>
      </c>
      <c r="R1333" t="inlineStr">
        <is>
          <t xml:space="preserve">BF </t>
        </is>
      </c>
      <c r="S1333" t="n">
        <v>1</v>
      </c>
      <c r="T1333" t="n">
        <v>1</v>
      </c>
      <c r="U1333" t="inlineStr">
        <is>
          <t>2009-08-18</t>
        </is>
      </c>
      <c r="V1333" t="inlineStr">
        <is>
          <t>2009-08-18</t>
        </is>
      </c>
      <c r="W1333" t="inlineStr">
        <is>
          <t>2009-06-29</t>
        </is>
      </c>
      <c r="X1333" t="inlineStr">
        <is>
          <t>2009-06-29</t>
        </is>
      </c>
      <c r="Y1333" t="n">
        <v>605</v>
      </c>
      <c r="Z1333" t="n">
        <v>511</v>
      </c>
      <c r="AA1333" t="n">
        <v>1268</v>
      </c>
      <c r="AB1333" t="n">
        <v>5</v>
      </c>
      <c r="AC1333" t="n">
        <v>14</v>
      </c>
      <c r="AD1333" t="n">
        <v>25</v>
      </c>
      <c r="AE1333" t="n">
        <v>52</v>
      </c>
      <c r="AF1333" t="n">
        <v>12</v>
      </c>
      <c r="AG1333" t="n">
        <v>20</v>
      </c>
      <c r="AH1333" t="n">
        <v>5</v>
      </c>
      <c r="AI1333" t="n">
        <v>11</v>
      </c>
      <c r="AJ1333" t="n">
        <v>11</v>
      </c>
      <c r="AK1333" t="n">
        <v>19</v>
      </c>
      <c r="AL1333" t="n">
        <v>4</v>
      </c>
      <c r="AM1333" t="n">
        <v>12</v>
      </c>
      <c r="AN1333" t="n">
        <v>0</v>
      </c>
      <c r="AO1333" t="n">
        <v>2</v>
      </c>
      <c r="AP1333" t="inlineStr">
        <is>
          <t>No</t>
        </is>
      </c>
      <c r="AQ1333" t="inlineStr">
        <is>
          <t>No</t>
        </is>
      </c>
      <c r="AS1333">
        <f>HYPERLINK("https://creighton-primo.hosted.exlibrisgroup.com/primo-explore/search?tab=default_tab&amp;search_scope=EVERYTHING&amp;vid=01CRU&amp;lang=en_US&amp;offset=0&amp;query=any,contains,991001474439702656","Catalog Record")</f>
        <v/>
      </c>
      <c r="AT1333">
        <f>HYPERLINK("http://www.worldcat.org/oclc/214064378","WorldCat Record")</f>
        <v/>
      </c>
    </row>
    <row r="1334">
      <c r="A1334" t="inlineStr">
        <is>
          <t>No</t>
        </is>
      </c>
      <c r="B1334" t="inlineStr">
        <is>
          <t>BF 441 K77u 1991</t>
        </is>
      </c>
      <c r="C1334" t="inlineStr">
        <is>
          <t>0                      BF 0441000K  77u         1991</t>
        </is>
      </c>
      <c r="D1334" t="inlineStr">
        <is>
          <t>The universal traveler : a soft-systems guide to creativity, problem-solving &amp; process of reaching goals / by Don Koberg &amp; Jim Bagnall.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K1334" t="inlineStr">
        <is>
          <t>Koberg, Don, 1930-</t>
        </is>
      </c>
      <c r="L1334" t="inlineStr">
        <is>
          <t>Los Altos, Calif. : Crisp Publications, c1991.</t>
        </is>
      </c>
      <c r="M1334" t="inlineStr">
        <is>
          <t>1991</t>
        </is>
      </c>
      <c r="N1334" t="inlineStr">
        <is>
          <t>New horizons ed.</t>
        </is>
      </c>
      <c r="O1334" t="inlineStr">
        <is>
          <t>eng</t>
        </is>
      </c>
      <c r="P1334" t="inlineStr">
        <is>
          <t>cau</t>
        </is>
      </c>
      <c r="R1334" t="inlineStr">
        <is>
          <t xml:space="preserve">BF </t>
        </is>
      </c>
      <c r="S1334" t="n">
        <v>21</v>
      </c>
      <c r="T1334" t="n">
        <v>21</v>
      </c>
      <c r="U1334" t="inlineStr">
        <is>
          <t>2000-02-16</t>
        </is>
      </c>
      <c r="V1334" t="inlineStr">
        <is>
          <t>2000-02-16</t>
        </is>
      </c>
      <c r="W1334" t="inlineStr">
        <is>
          <t>1997-01-22</t>
        </is>
      </c>
      <c r="X1334" t="inlineStr">
        <is>
          <t>1997-01-22</t>
        </is>
      </c>
      <c r="Y1334" t="n">
        <v>186</v>
      </c>
      <c r="Z1334" t="n">
        <v>141</v>
      </c>
      <c r="AA1334" t="n">
        <v>560</v>
      </c>
      <c r="AB1334" t="n">
        <v>1</v>
      </c>
      <c r="AC1334" t="n">
        <v>5</v>
      </c>
      <c r="AD1334" t="n">
        <v>3</v>
      </c>
      <c r="AE1334" t="n">
        <v>18</v>
      </c>
      <c r="AF1334" t="n">
        <v>2</v>
      </c>
      <c r="AG1334" t="n">
        <v>5</v>
      </c>
      <c r="AH1334" t="n">
        <v>0</v>
      </c>
      <c r="AI1334" t="n">
        <v>4</v>
      </c>
      <c r="AJ1334" t="n">
        <v>1</v>
      </c>
      <c r="AK1334" t="n">
        <v>9</v>
      </c>
      <c r="AL1334" t="n">
        <v>0</v>
      </c>
      <c r="AM1334" t="n">
        <v>4</v>
      </c>
      <c r="AN1334" t="n">
        <v>0</v>
      </c>
      <c r="AO1334" t="n">
        <v>0</v>
      </c>
      <c r="AP1334" t="inlineStr">
        <is>
          <t>No</t>
        </is>
      </c>
      <c r="AQ1334" t="inlineStr">
        <is>
          <t>No</t>
        </is>
      </c>
      <c r="AS1334">
        <f>HYPERLINK("https://creighton-primo.hosted.exlibrisgroup.com/primo-explore/search?tab=default_tab&amp;search_scope=EVERYTHING&amp;vid=01CRU&amp;lang=en_US&amp;offset=0&amp;query=any,contains,991001552399702656","Catalog Record")</f>
        <v/>
      </c>
      <c r="AT1334">
        <f>HYPERLINK("http://www.worldcat.org/oclc/23768683","WorldCat Record")</f>
        <v/>
      </c>
    </row>
    <row r="1335">
      <c r="A1335" t="inlineStr">
        <is>
          <t>No</t>
        </is>
      </c>
      <c r="B1335" t="inlineStr">
        <is>
          <t>BF 449 F664s 1995</t>
        </is>
      </c>
      <c r="C1335" t="inlineStr">
        <is>
          <t>0                      BF 0449000F  664s        1995</t>
        </is>
      </c>
      <c r="D1335" t="inlineStr">
        <is>
          <t>Strategies for creative problem solving / H. Scott Fogler, Steven E. LeBlanc.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K1335" t="inlineStr">
        <is>
          <t>Fogler, H. Scott.</t>
        </is>
      </c>
      <c r="L1335" t="inlineStr">
        <is>
          <t>Upper Saddle River, N.J. : PTR Prentice Hall, c1995.</t>
        </is>
      </c>
      <c r="M1335" t="inlineStr">
        <is>
          <t>1995</t>
        </is>
      </c>
      <c r="O1335" t="inlineStr">
        <is>
          <t>eng</t>
        </is>
      </c>
      <c r="P1335" t="inlineStr">
        <is>
          <t>nju</t>
        </is>
      </c>
      <c r="R1335" t="inlineStr">
        <is>
          <t xml:space="preserve">BF </t>
        </is>
      </c>
      <c r="S1335" t="n">
        <v>5</v>
      </c>
      <c r="T1335" t="n">
        <v>5</v>
      </c>
      <c r="U1335" t="inlineStr">
        <is>
          <t>2004-04-29</t>
        </is>
      </c>
      <c r="V1335" t="inlineStr">
        <is>
          <t>2004-04-29</t>
        </is>
      </c>
      <c r="W1335" t="inlineStr">
        <is>
          <t>1998-02-25</t>
        </is>
      </c>
      <c r="X1335" t="inlineStr">
        <is>
          <t>1998-02-25</t>
        </is>
      </c>
      <c r="Y1335" t="n">
        <v>254</v>
      </c>
      <c r="Z1335" t="n">
        <v>166</v>
      </c>
      <c r="AA1335" t="n">
        <v>256</v>
      </c>
      <c r="AB1335" t="n">
        <v>3</v>
      </c>
      <c r="AC1335" t="n">
        <v>3</v>
      </c>
      <c r="AD1335" t="n">
        <v>9</v>
      </c>
      <c r="AE1335" t="n">
        <v>15</v>
      </c>
      <c r="AF1335" t="n">
        <v>3</v>
      </c>
      <c r="AG1335" t="n">
        <v>5</v>
      </c>
      <c r="AH1335" t="n">
        <v>1</v>
      </c>
      <c r="AI1335" t="n">
        <v>2</v>
      </c>
      <c r="AJ1335" t="n">
        <v>5</v>
      </c>
      <c r="AK1335" t="n">
        <v>9</v>
      </c>
      <c r="AL1335" t="n">
        <v>2</v>
      </c>
      <c r="AM1335" t="n">
        <v>2</v>
      </c>
      <c r="AN1335" t="n">
        <v>0</v>
      </c>
      <c r="AO1335" t="n">
        <v>0</v>
      </c>
      <c r="AP1335" t="inlineStr">
        <is>
          <t>No</t>
        </is>
      </c>
      <c r="AQ1335" t="inlineStr">
        <is>
          <t>Yes</t>
        </is>
      </c>
      <c r="AR1335">
        <f>HYPERLINK("http://catalog.hathitrust.org/Record/003247440","HathiTrust Record")</f>
        <v/>
      </c>
      <c r="AS1335">
        <f>HYPERLINK("https://creighton-primo.hosted.exlibrisgroup.com/primo-explore/search?tab=default_tab&amp;search_scope=EVERYTHING&amp;vid=01CRU&amp;lang=en_US&amp;offset=0&amp;query=any,contains,991001296269702656","Catalog Record")</f>
        <v/>
      </c>
      <c r="AT1335">
        <f>HYPERLINK("http://www.worldcat.org/oclc/30701913","WorldCat Record")</f>
        <v/>
      </c>
    </row>
    <row r="1336">
      <c r="A1336" t="inlineStr">
        <is>
          <t>No</t>
        </is>
      </c>
      <c r="B1336" t="inlineStr">
        <is>
          <t>BF 511 A256 1979</t>
        </is>
      </c>
      <c r="C1336" t="inlineStr">
        <is>
          <t>0                      BF 0511000A  256         1979</t>
        </is>
      </c>
      <c r="D1336" t="inlineStr">
        <is>
          <t>Affect--psychoanalytic theory and practice / edited by Morton B. Cantor and Myron L. Glucksman.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L1336" t="inlineStr">
        <is>
          <t>New York : Wiley, c1983.</t>
        </is>
      </c>
      <c r="M1336" t="inlineStr">
        <is>
          <t>1983</t>
        </is>
      </c>
      <c r="O1336" t="inlineStr">
        <is>
          <t>eng</t>
        </is>
      </c>
      <c r="P1336" t="inlineStr">
        <is>
          <t>xxu</t>
        </is>
      </c>
      <c r="Q1336" t="inlineStr">
        <is>
          <t>Wiley-Interscience publication</t>
        </is>
      </c>
      <c r="R1336" t="inlineStr">
        <is>
          <t xml:space="preserve">BF </t>
        </is>
      </c>
      <c r="S1336" t="n">
        <v>4</v>
      </c>
      <c r="T1336" t="n">
        <v>4</v>
      </c>
      <c r="U1336" t="inlineStr">
        <is>
          <t>1998-05-29</t>
        </is>
      </c>
      <c r="V1336" t="inlineStr">
        <is>
          <t>1998-05-29</t>
        </is>
      </c>
      <c r="W1336" t="inlineStr">
        <is>
          <t>1987-12-29</t>
        </is>
      </c>
      <c r="X1336" t="inlineStr">
        <is>
          <t>1987-12-29</t>
        </is>
      </c>
      <c r="Y1336" t="n">
        <v>103</v>
      </c>
      <c r="Z1336" t="n">
        <v>79</v>
      </c>
      <c r="AA1336" t="n">
        <v>81</v>
      </c>
      <c r="AB1336" t="n">
        <v>3</v>
      </c>
      <c r="AC1336" t="n">
        <v>3</v>
      </c>
      <c r="AD1336" t="n">
        <v>6</v>
      </c>
      <c r="AE1336" t="n">
        <v>6</v>
      </c>
      <c r="AF1336" t="n">
        <v>0</v>
      </c>
      <c r="AG1336" t="n">
        <v>0</v>
      </c>
      <c r="AH1336" t="n">
        <v>2</v>
      </c>
      <c r="AI1336" t="n">
        <v>2</v>
      </c>
      <c r="AJ1336" t="n">
        <v>4</v>
      </c>
      <c r="AK1336" t="n">
        <v>4</v>
      </c>
      <c r="AL1336" t="n">
        <v>2</v>
      </c>
      <c r="AM1336" t="n">
        <v>2</v>
      </c>
      <c r="AN1336" t="n">
        <v>0</v>
      </c>
      <c r="AO1336" t="n">
        <v>0</v>
      </c>
      <c r="AP1336" t="inlineStr">
        <is>
          <t>No</t>
        </is>
      </c>
      <c r="AQ1336" t="inlineStr">
        <is>
          <t>Yes</t>
        </is>
      </c>
      <c r="AR1336">
        <f>HYPERLINK("http://catalog.hathitrust.org/Record/004422571","HathiTrust Record")</f>
        <v/>
      </c>
      <c r="AS1336">
        <f>HYPERLINK("https://creighton-primo.hosted.exlibrisgroup.com/primo-explore/search?tab=default_tab&amp;search_scope=EVERYTHING&amp;vid=01CRU&amp;lang=en_US&amp;offset=0&amp;query=any,contains,991000787789702656","Catalog Record")</f>
        <v/>
      </c>
      <c r="AT1336">
        <f>HYPERLINK("http://www.worldcat.org/oclc/9762422","WorldCat Record")</f>
        <v/>
      </c>
    </row>
    <row r="1337">
      <c r="A1337" t="inlineStr">
        <is>
          <t>No</t>
        </is>
      </c>
      <c r="B1337" t="inlineStr">
        <is>
          <t>BF 511 S989e 1960</t>
        </is>
      </c>
      <c r="C1337" t="inlineStr">
        <is>
          <t>0                      BF 0511000S  989e        1960</t>
        </is>
      </c>
      <c r="D1337" t="inlineStr">
        <is>
          <t>Expression of the emotions in man : [symposium held at the meeting of the American Association for the Advancement of Science in New York on December 29-30, 1960] / Edited by Peter H. Knapp.</t>
        </is>
      </c>
      <c r="F1337" t="inlineStr">
        <is>
          <t>No</t>
        </is>
      </c>
      <c r="G1337" t="inlineStr">
        <is>
          <t>1</t>
        </is>
      </c>
      <c r="H1337" t="inlineStr">
        <is>
          <t>Yes</t>
        </is>
      </c>
      <c r="I1337" t="inlineStr">
        <is>
          <t>No</t>
        </is>
      </c>
      <c r="J1337" t="inlineStr">
        <is>
          <t>0</t>
        </is>
      </c>
      <c r="K1337" t="inlineStr">
        <is>
          <t>Symposium on Expression of the Emotions in Man (1960 : New York, N.Y.)</t>
        </is>
      </c>
      <c r="L1337" t="inlineStr">
        <is>
          <t>New York : International Universities Press, c1963.</t>
        </is>
      </c>
      <c r="M1337" t="inlineStr">
        <is>
          <t>1963</t>
        </is>
      </c>
      <c r="O1337" t="inlineStr">
        <is>
          <t>eng</t>
        </is>
      </c>
      <c r="P1337" t="inlineStr">
        <is>
          <t>nyu</t>
        </is>
      </c>
      <c r="R1337" t="inlineStr">
        <is>
          <t xml:space="preserve">BF </t>
        </is>
      </c>
      <c r="S1337" t="n">
        <v>3</v>
      </c>
      <c r="T1337" t="n">
        <v>3</v>
      </c>
      <c r="U1337" t="inlineStr">
        <is>
          <t>2008-01-06</t>
        </is>
      </c>
      <c r="V1337" t="inlineStr">
        <is>
          <t>2008-01-06</t>
        </is>
      </c>
      <c r="W1337" t="inlineStr">
        <is>
          <t>1988-02-29</t>
        </is>
      </c>
      <c r="X1337" t="inlineStr">
        <is>
          <t>1988-02-29</t>
        </is>
      </c>
      <c r="Y1337" t="n">
        <v>548</v>
      </c>
      <c r="Z1337" t="n">
        <v>461</v>
      </c>
      <c r="AA1337" t="n">
        <v>491</v>
      </c>
      <c r="AB1337" t="n">
        <v>5</v>
      </c>
      <c r="AC1337" t="n">
        <v>5</v>
      </c>
      <c r="AD1337" t="n">
        <v>24</v>
      </c>
      <c r="AE1337" t="n">
        <v>24</v>
      </c>
      <c r="AF1337" t="n">
        <v>7</v>
      </c>
      <c r="AG1337" t="n">
        <v>7</v>
      </c>
      <c r="AH1337" t="n">
        <v>8</v>
      </c>
      <c r="AI1337" t="n">
        <v>8</v>
      </c>
      <c r="AJ1337" t="n">
        <v>13</v>
      </c>
      <c r="AK1337" t="n">
        <v>13</v>
      </c>
      <c r="AL1337" t="n">
        <v>3</v>
      </c>
      <c r="AM1337" t="n">
        <v>3</v>
      </c>
      <c r="AN1337" t="n">
        <v>0</v>
      </c>
      <c r="AO1337" t="n">
        <v>0</v>
      </c>
      <c r="AP1337" t="inlineStr">
        <is>
          <t>No</t>
        </is>
      </c>
      <c r="AQ1337" t="inlineStr">
        <is>
          <t>No</t>
        </is>
      </c>
      <c r="AR1337">
        <f>HYPERLINK("http://catalog.hathitrust.org/Record/000381717","HathiTrust Record")</f>
        <v/>
      </c>
      <c r="AS1337">
        <f>HYPERLINK("https://creighton-primo.hosted.exlibrisgroup.com/primo-explore/search?tab=default_tab&amp;search_scope=EVERYTHING&amp;vid=01CRU&amp;lang=en_US&amp;offset=0&amp;query=any,contains,991000787909702656","Catalog Record")</f>
        <v/>
      </c>
      <c r="AT1337">
        <f>HYPERLINK("http://www.worldcat.org/oclc/14612826","WorldCat Record")</f>
        <v/>
      </c>
    </row>
    <row r="1338">
      <c r="A1338" t="inlineStr">
        <is>
          <t>No</t>
        </is>
      </c>
      <c r="B1338" t="inlineStr">
        <is>
          <t>BF 531 H236 2008</t>
        </is>
      </c>
      <c r="C1338" t="inlineStr">
        <is>
          <t>0                      BF 0531000H  236         2008</t>
        </is>
      </c>
      <c r="D1338" t="inlineStr">
        <is>
          <t>Handbook of emotions / edited by Michael Lewis, Jeannette M. Haviland-Jones, and Lisa Feldman Barrett.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Yes</t>
        </is>
      </c>
      <c r="J1338" t="inlineStr">
        <is>
          <t>0</t>
        </is>
      </c>
      <c r="L1338" t="inlineStr">
        <is>
          <t>New York : Guilford Press, c2008.</t>
        </is>
      </c>
      <c r="M1338" t="inlineStr">
        <is>
          <t>2008</t>
        </is>
      </c>
      <c r="N1338" t="inlineStr">
        <is>
          <t>3rd ed.</t>
        </is>
      </c>
      <c r="O1338" t="inlineStr">
        <is>
          <t>eng</t>
        </is>
      </c>
      <c r="P1338" t="inlineStr">
        <is>
          <t>nyu</t>
        </is>
      </c>
      <c r="R1338" t="inlineStr">
        <is>
          <t xml:space="preserve">BF </t>
        </is>
      </c>
      <c r="S1338" t="n">
        <v>1</v>
      </c>
      <c r="T1338" t="n">
        <v>1</v>
      </c>
      <c r="U1338" t="inlineStr">
        <is>
          <t>2009-09-21</t>
        </is>
      </c>
      <c r="V1338" t="inlineStr">
        <is>
          <t>2009-09-21</t>
        </is>
      </c>
      <c r="W1338" t="inlineStr">
        <is>
          <t>2009-02-20</t>
        </is>
      </c>
      <c r="X1338" t="inlineStr">
        <is>
          <t>2009-02-20</t>
        </is>
      </c>
      <c r="Y1338" t="n">
        <v>804</v>
      </c>
      <c r="Z1338" t="n">
        <v>634</v>
      </c>
      <c r="AA1338" t="n">
        <v>1510</v>
      </c>
      <c r="AB1338" t="n">
        <v>6</v>
      </c>
      <c r="AC1338" t="n">
        <v>9</v>
      </c>
      <c r="AD1338" t="n">
        <v>34</v>
      </c>
      <c r="AE1338" t="n">
        <v>58</v>
      </c>
      <c r="AF1338" t="n">
        <v>11</v>
      </c>
      <c r="AG1338" t="n">
        <v>27</v>
      </c>
      <c r="AH1338" t="n">
        <v>8</v>
      </c>
      <c r="AI1338" t="n">
        <v>10</v>
      </c>
      <c r="AJ1338" t="n">
        <v>18</v>
      </c>
      <c r="AK1338" t="n">
        <v>26</v>
      </c>
      <c r="AL1338" t="n">
        <v>5</v>
      </c>
      <c r="AM1338" t="n">
        <v>7</v>
      </c>
      <c r="AN1338" t="n">
        <v>0</v>
      </c>
      <c r="AO1338" t="n">
        <v>1</v>
      </c>
      <c r="AP1338" t="inlineStr">
        <is>
          <t>No</t>
        </is>
      </c>
      <c r="AQ1338" t="inlineStr">
        <is>
          <t>No</t>
        </is>
      </c>
      <c r="AS1338">
        <f>HYPERLINK("https://creighton-primo.hosted.exlibrisgroup.com/primo-explore/search?tab=default_tab&amp;search_scope=EVERYTHING&amp;vid=01CRU&amp;lang=en_US&amp;offset=0&amp;query=any,contains,991001366049702656","Catalog Record")</f>
        <v/>
      </c>
      <c r="AT1338">
        <f>HYPERLINK("http://www.worldcat.org/oclc/175056027","WorldCat Record")</f>
        <v/>
      </c>
    </row>
    <row r="1339">
      <c r="A1339" t="inlineStr">
        <is>
          <t>No</t>
        </is>
      </c>
      <c r="B1339" t="inlineStr">
        <is>
          <t>BF 575. G7 L438d 1994</t>
        </is>
      </c>
      <c r="C1339" t="inlineStr">
        <is>
          <t>0                      BF 0575000G  7                  L  438d        1994</t>
        </is>
      </c>
      <c r="D1339" t="inlineStr">
        <is>
          <t>Death notification : a practical guide to the process / by R. Moroni Leash.</t>
        </is>
      </c>
      <c r="F1339" t="inlineStr">
        <is>
          <t>No</t>
        </is>
      </c>
      <c r="G1339" t="inlineStr">
        <is>
          <t>1</t>
        </is>
      </c>
      <c r="H1339" t="inlineStr">
        <is>
          <t>No</t>
        </is>
      </c>
      <c r="I1339" t="inlineStr">
        <is>
          <t>No</t>
        </is>
      </c>
      <c r="J1339" t="inlineStr">
        <is>
          <t>0</t>
        </is>
      </c>
      <c r="K1339" t="inlineStr">
        <is>
          <t>Leash, R. Moroni (Russell Moroni), 1958-</t>
        </is>
      </c>
      <c r="L1339" t="inlineStr">
        <is>
          <t>Hinesburg, Vt. : Upper Access, c1994.</t>
        </is>
      </c>
      <c r="M1339" t="inlineStr">
        <is>
          <t>1994</t>
        </is>
      </c>
      <c r="O1339" t="inlineStr">
        <is>
          <t>eng</t>
        </is>
      </c>
      <c r="P1339" t="inlineStr">
        <is>
          <t>vtu</t>
        </is>
      </c>
      <c r="R1339" t="inlineStr">
        <is>
          <t xml:space="preserve">BF </t>
        </is>
      </c>
      <c r="S1339" t="n">
        <v>1</v>
      </c>
      <c r="T1339" t="n">
        <v>1</v>
      </c>
      <c r="U1339" t="inlineStr">
        <is>
          <t>2005-01-28</t>
        </is>
      </c>
      <c r="V1339" t="inlineStr">
        <is>
          <t>2005-01-28</t>
        </is>
      </c>
      <c r="W1339" t="inlineStr">
        <is>
          <t>2005-01-28</t>
        </is>
      </c>
      <c r="X1339" t="inlineStr">
        <is>
          <t>2005-01-28</t>
        </is>
      </c>
      <c r="Y1339" t="n">
        <v>134</v>
      </c>
      <c r="Z1339" t="n">
        <v>129</v>
      </c>
      <c r="AA1339" t="n">
        <v>138</v>
      </c>
      <c r="AB1339" t="n">
        <v>1</v>
      </c>
      <c r="AC1339" t="n">
        <v>1</v>
      </c>
      <c r="AD1339" t="n">
        <v>2</v>
      </c>
      <c r="AE1339" t="n">
        <v>2</v>
      </c>
      <c r="AF1339" t="n">
        <v>1</v>
      </c>
      <c r="AG1339" t="n">
        <v>1</v>
      </c>
      <c r="AH1339" t="n">
        <v>1</v>
      </c>
      <c r="AI1339" t="n">
        <v>1</v>
      </c>
      <c r="AJ1339" t="n">
        <v>1</v>
      </c>
      <c r="AK1339" t="n">
        <v>1</v>
      </c>
      <c r="AL1339" t="n">
        <v>0</v>
      </c>
      <c r="AM1339" t="n">
        <v>0</v>
      </c>
      <c r="AN1339" t="n">
        <v>0</v>
      </c>
      <c r="AO1339" t="n">
        <v>0</v>
      </c>
      <c r="AP1339" t="inlineStr">
        <is>
          <t>No</t>
        </is>
      </c>
      <c r="AQ1339" t="inlineStr">
        <is>
          <t>Yes</t>
        </is>
      </c>
      <c r="AR1339">
        <f>HYPERLINK("http://catalog.hathitrust.org/Record/003072681","HathiTrust Record")</f>
        <v/>
      </c>
      <c r="AS1339">
        <f>HYPERLINK("https://creighton-primo.hosted.exlibrisgroup.com/primo-explore/search?tab=default_tab&amp;search_scope=EVERYTHING&amp;vid=01CRU&amp;lang=en_US&amp;offset=0&amp;query=any,contains,991000425149702656","Catalog Record")</f>
        <v/>
      </c>
      <c r="AT1339">
        <f>HYPERLINK("http://www.worldcat.org/oclc/28293706","WorldCat Record")</f>
        <v/>
      </c>
    </row>
    <row r="1340">
      <c r="A1340" t="inlineStr">
        <is>
          <t>No</t>
        </is>
      </c>
      <c r="B1340" t="inlineStr">
        <is>
          <t>BF 575.A3 V215p 1981</t>
        </is>
      </c>
      <c r="C1340" t="inlineStr">
        <is>
          <t>0                      BF 0575000A  3                  V  215p        1981</t>
        </is>
      </c>
      <c r="D1340" t="inlineStr">
        <is>
          <t>Psychobiology of aggression and violence / Luigi Valzelli.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Valzelli, Luigi, 1927-</t>
        </is>
      </c>
      <c r="L1340" t="inlineStr">
        <is>
          <t>New York : Raven Press, c1981.</t>
        </is>
      </c>
      <c r="M1340" t="inlineStr">
        <is>
          <t>1981</t>
        </is>
      </c>
      <c r="O1340" t="inlineStr">
        <is>
          <t>eng</t>
        </is>
      </c>
      <c r="P1340" t="inlineStr">
        <is>
          <t>nyu</t>
        </is>
      </c>
      <c r="R1340" t="inlineStr">
        <is>
          <t xml:space="preserve">BF </t>
        </is>
      </c>
      <c r="S1340" t="n">
        <v>3</v>
      </c>
      <c r="T1340" t="n">
        <v>3</v>
      </c>
      <c r="U1340" t="inlineStr">
        <is>
          <t>2003-10-03</t>
        </is>
      </c>
      <c r="V1340" t="inlineStr">
        <is>
          <t>2003-10-03</t>
        </is>
      </c>
      <c r="W1340" t="inlineStr">
        <is>
          <t>1988-02-29</t>
        </is>
      </c>
      <c r="X1340" t="inlineStr">
        <is>
          <t>1988-02-29</t>
        </is>
      </c>
      <c r="Y1340" t="n">
        <v>353</v>
      </c>
      <c r="Z1340" t="n">
        <v>253</v>
      </c>
      <c r="AA1340" t="n">
        <v>257</v>
      </c>
      <c r="AB1340" t="n">
        <v>2</v>
      </c>
      <c r="AC1340" t="n">
        <v>2</v>
      </c>
      <c r="AD1340" t="n">
        <v>11</v>
      </c>
      <c r="AE1340" t="n">
        <v>11</v>
      </c>
      <c r="AF1340" t="n">
        <v>1</v>
      </c>
      <c r="AG1340" t="n">
        <v>1</v>
      </c>
      <c r="AH1340" t="n">
        <v>4</v>
      </c>
      <c r="AI1340" t="n">
        <v>4</v>
      </c>
      <c r="AJ1340" t="n">
        <v>9</v>
      </c>
      <c r="AK1340" t="n">
        <v>9</v>
      </c>
      <c r="AL1340" t="n">
        <v>1</v>
      </c>
      <c r="AM1340" t="n">
        <v>1</v>
      </c>
      <c r="AN1340" t="n">
        <v>0</v>
      </c>
      <c r="AO1340" t="n">
        <v>0</v>
      </c>
      <c r="AP1340" t="inlineStr">
        <is>
          <t>No</t>
        </is>
      </c>
      <c r="AQ1340" t="inlineStr">
        <is>
          <t>Yes</t>
        </is>
      </c>
      <c r="AR1340">
        <f>HYPERLINK("http://catalog.hathitrust.org/Record/000183161","HathiTrust Record")</f>
        <v/>
      </c>
      <c r="AS1340">
        <f>HYPERLINK("https://creighton-primo.hosted.exlibrisgroup.com/primo-explore/search?tab=default_tab&amp;search_scope=EVERYTHING&amp;vid=01CRU&amp;lang=en_US&amp;offset=0&amp;query=any,contains,991000787999702656","Catalog Record")</f>
        <v/>
      </c>
      <c r="AT1340">
        <f>HYPERLINK("http://www.worldcat.org/oclc/7169782","WorldCat Record")</f>
        <v/>
      </c>
    </row>
    <row r="1341">
      <c r="A1341" t="inlineStr">
        <is>
          <t>No</t>
        </is>
      </c>
      <c r="B1341" t="inlineStr">
        <is>
          <t>BF 575.A3 V7947 1985</t>
        </is>
      </c>
      <c r="C1341" t="inlineStr">
        <is>
          <t>0                      BF 0575000A  3                  V  7947        1985</t>
        </is>
      </c>
      <c r="D1341" t="inlineStr">
        <is>
          <t>Violence in America : a public health approach / edited by Mark L. Rosenberg and Mary Ann Fenley.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1</t>
        </is>
      </c>
      <c r="L1341" t="inlineStr">
        <is>
          <t>New York : Oxford University Press, c1991.</t>
        </is>
      </c>
      <c r="M1341" t="inlineStr">
        <is>
          <t>1991</t>
        </is>
      </c>
      <c r="O1341" t="inlineStr">
        <is>
          <t>eng</t>
        </is>
      </c>
      <c r="P1341" t="inlineStr">
        <is>
          <t>nyu</t>
        </is>
      </c>
      <c r="R1341" t="inlineStr">
        <is>
          <t xml:space="preserve">BF </t>
        </is>
      </c>
      <c r="S1341" t="n">
        <v>15</v>
      </c>
      <c r="T1341" t="n">
        <v>15</v>
      </c>
      <c r="U1341" t="inlineStr">
        <is>
          <t>2003-10-03</t>
        </is>
      </c>
      <c r="V1341" t="inlineStr">
        <is>
          <t>2003-10-03</t>
        </is>
      </c>
      <c r="W1341" t="inlineStr">
        <is>
          <t>1992-01-09</t>
        </is>
      </c>
      <c r="X1341" t="inlineStr">
        <is>
          <t>1992-01-09</t>
        </is>
      </c>
      <c r="Y1341" t="n">
        <v>449</v>
      </c>
      <c r="Z1341" t="n">
        <v>386</v>
      </c>
      <c r="AA1341" t="n">
        <v>1216</v>
      </c>
      <c r="AB1341" t="n">
        <v>3</v>
      </c>
      <c r="AC1341" t="n">
        <v>14</v>
      </c>
      <c r="AD1341" t="n">
        <v>16</v>
      </c>
      <c r="AE1341" t="n">
        <v>47</v>
      </c>
      <c r="AF1341" t="n">
        <v>2</v>
      </c>
      <c r="AG1341" t="n">
        <v>13</v>
      </c>
      <c r="AH1341" t="n">
        <v>5</v>
      </c>
      <c r="AI1341" t="n">
        <v>11</v>
      </c>
      <c r="AJ1341" t="n">
        <v>7</v>
      </c>
      <c r="AK1341" t="n">
        <v>15</v>
      </c>
      <c r="AL1341" t="n">
        <v>2</v>
      </c>
      <c r="AM1341" t="n">
        <v>12</v>
      </c>
      <c r="AN1341" t="n">
        <v>2</v>
      </c>
      <c r="AO1341" t="n">
        <v>3</v>
      </c>
      <c r="AP1341" t="inlineStr">
        <is>
          <t>No</t>
        </is>
      </c>
      <c r="AQ1341" t="inlineStr">
        <is>
          <t>No</t>
        </is>
      </c>
      <c r="AS1341">
        <f>HYPERLINK("https://creighton-primo.hosted.exlibrisgroup.com/primo-explore/search?tab=default_tab&amp;search_scope=EVERYTHING&amp;vid=01CRU&amp;lang=en_US&amp;offset=0&amp;query=any,contains,991001024059702656","Catalog Record")</f>
        <v/>
      </c>
      <c r="AT1341">
        <f>HYPERLINK("http://www.worldcat.org/oclc/22764685","WorldCat Record")</f>
        <v/>
      </c>
    </row>
    <row r="1342">
      <c r="A1342" t="inlineStr">
        <is>
          <t>No</t>
        </is>
      </c>
      <c r="B1342" t="inlineStr">
        <is>
          <t>BF 575.A3 W919 2004</t>
        </is>
      </c>
      <c r="C1342" t="inlineStr">
        <is>
          <t>0                      BF 0575000A  3                  W  919         2004</t>
        </is>
      </c>
      <c r="D1342" t="inlineStr">
        <is>
          <t>Working with dangerous people : the psychotherapy of violence / edited by David Jones ; forewords by Christopher Cordess and Terry A. Kupers.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L1342" t="inlineStr">
        <is>
          <t>Oxford ; San Francisco : Radcliffe Medical Press ; 2004.</t>
        </is>
      </c>
      <c r="M1342" t="inlineStr">
        <is>
          <t>2004</t>
        </is>
      </c>
      <c r="O1342" t="inlineStr">
        <is>
          <t>eng</t>
        </is>
      </c>
      <c r="P1342" t="inlineStr">
        <is>
          <t>enk</t>
        </is>
      </c>
      <c r="R1342" t="inlineStr">
        <is>
          <t xml:space="preserve">BF </t>
        </is>
      </c>
      <c r="S1342" t="n">
        <v>0</v>
      </c>
      <c r="T1342" t="n">
        <v>0</v>
      </c>
      <c r="U1342" t="inlineStr">
        <is>
          <t>2004-09-14</t>
        </is>
      </c>
      <c r="V1342" t="inlineStr">
        <is>
          <t>2004-09-14</t>
        </is>
      </c>
      <c r="W1342" t="inlineStr">
        <is>
          <t>2004-09-14</t>
        </is>
      </c>
      <c r="X1342" t="inlineStr">
        <is>
          <t>2004-09-14</t>
        </is>
      </c>
      <c r="Y1342" t="n">
        <v>121</v>
      </c>
      <c r="Z1342" t="n">
        <v>57</v>
      </c>
      <c r="AA1342" t="n">
        <v>99</v>
      </c>
      <c r="AB1342" t="n">
        <v>1</v>
      </c>
      <c r="AC1342" t="n">
        <v>1</v>
      </c>
      <c r="AD1342" t="n">
        <v>0</v>
      </c>
      <c r="AE1342" t="n">
        <v>1</v>
      </c>
      <c r="AF1342" t="n">
        <v>0</v>
      </c>
      <c r="AG1342" t="n">
        <v>0</v>
      </c>
      <c r="AH1342" t="n">
        <v>0</v>
      </c>
      <c r="AI1342" t="n">
        <v>1</v>
      </c>
      <c r="AJ1342" t="n">
        <v>0</v>
      </c>
      <c r="AK1342" t="n">
        <v>0</v>
      </c>
      <c r="AL1342" t="n">
        <v>0</v>
      </c>
      <c r="AM1342" t="n">
        <v>0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Yes</t>
        </is>
      </c>
      <c r="AR1342">
        <f>HYPERLINK("http://catalog.hathitrust.org/Record/004732225","HathiTrust Record")</f>
        <v/>
      </c>
      <c r="AS1342">
        <f>HYPERLINK("https://creighton-primo.hosted.exlibrisgroup.com/primo-explore/search?tab=default_tab&amp;search_scope=EVERYTHING&amp;vid=01CRU&amp;lang=en_US&amp;offset=0&amp;query=any,contains,991000388699702656","Catalog Record")</f>
        <v/>
      </c>
      <c r="AT1342">
        <f>HYPERLINK("http://www.worldcat.org/oclc/55634372","WorldCat Record")</f>
        <v/>
      </c>
    </row>
    <row r="1343">
      <c r="A1343" t="inlineStr">
        <is>
          <t>No</t>
        </is>
      </c>
      <c r="B1343" t="inlineStr">
        <is>
          <t>BF 575.A6 P558d</t>
        </is>
      </c>
      <c r="C1343" t="inlineStr">
        <is>
          <t>0                      BF 0575000A  6                  P  558d</t>
        </is>
      </c>
      <c r="D1343" t="inlineStr">
        <is>
          <t>Day to day anxiety management / E. Lakin Phillips.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K1343" t="inlineStr">
        <is>
          <t>Phillips, E. Lakin (Ewing Lakin), 1915-1994.</t>
        </is>
      </c>
      <c r="L1343" t="inlineStr">
        <is>
          <t>-- Huntington, N.Y. : R. E. Krieger Pub. Co., 1977.</t>
        </is>
      </c>
      <c r="M1343" t="inlineStr">
        <is>
          <t>1977</t>
        </is>
      </c>
      <c r="O1343" t="inlineStr">
        <is>
          <t>eng</t>
        </is>
      </c>
      <c r="P1343" t="inlineStr">
        <is>
          <t>nyu</t>
        </is>
      </c>
      <c r="R1343" t="inlineStr">
        <is>
          <t xml:space="preserve">BF </t>
        </is>
      </c>
      <c r="S1343" t="n">
        <v>8</v>
      </c>
      <c r="T1343" t="n">
        <v>8</v>
      </c>
      <c r="U1343" t="inlineStr">
        <is>
          <t>2003-12-09</t>
        </is>
      </c>
      <c r="V1343" t="inlineStr">
        <is>
          <t>2003-12-09</t>
        </is>
      </c>
      <c r="W1343" t="inlineStr">
        <is>
          <t>1987-08-28</t>
        </is>
      </c>
      <c r="X1343" t="inlineStr">
        <is>
          <t>1987-08-28</t>
        </is>
      </c>
      <c r="Y1343" t="n">
        <v>96</v>
      </c>
      <c r="Z1343" t="n">
        <v>84</v>
      </c>
      <c r="AA1343" t="n">
        <v>86</v>
      </c>
      <c r="AB1343" t="n">
        <v>2</v>
      </c>
      <c r="AC1343" t="n">
        <v>2</v>
      </c>
      <c r="AD1343" t="n">
        <v>5</v>
      </c>
      <c r="AE1343" t="n">
        <v>5</v>
      </c>
      <c r="AF1343" t="n">
        <v>2</v>
      </c>
      <c r="AG1343" t="n">
        <v>2</v>
      </c>
      <c r="AH1343" t="n">
        <v>2</v>
      </c>
      <c r="AI1343" t="n">
        <v>2</v>
      </c>
      <c r="AJ1343" t="n">
        <v>3</v>
      </c>
      <c r="AK1343" t="n">
        <v>3</v>
      </c>
      <c r="AL1343" t="n">
        <v>1</v>
      </c>
      <c r="AM1343" t="n">
        <v>1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Yes</t>
        </is>
      </c>
      <c r="AR1343">
        <f>HYPERLINK("http://catalog.hathitrust.org/Record/009812844","HathiTrust Record")</f>
        <v/>
      </c>
      <c r="AS1343">
        <f>HYPERLINK("https://creighton-primo.hosted.exlibrisgroup.com/primo-explore/search?tab=default_tab&amp;search_scope=EVERYTHING&amp;vid=01CRU&amp;lang=en_US&amp;offset=0&amp;query=any,contains,991000788839702656","Catalog Record")</f>
        <v/>
      </c>
      <c r="AT1343">
        <f>HYPERLINK("http://www.worldcat.org/oclc/2373362","WorldCat Record")</f>
        <v/>
      </c>
    </row>
    <row r="1344">
      <c r="A1344" t="inlineStr">
        <is>
          <t>No</t>
        </is>
      </c>
      <c r="B1344" t="inlineStr">
        <is>
          <t>BF 575.E55 E548 1994</t>
        </is>
      </c>
      <c r="C1344" t="inlineStr">
        <is>
          <t>0                      BF 0575000E  55                 E  548         1994</t>
        </is>
      </c>
      <c r="D1344" t="inlineStr">
        <is>
          <t>The empathic practitioner : empathy, gender, and medicine / edited by Ellen Singer More and Maureen A. Milligan.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L1344" t="inlineStr">
        <is>
          <t>New Brunswick, N.J. : Rutgers University Press, c1994.</t>
        </is>
      </c>
      <c r="M1344" t="inlineStr">
        <is>
          <t>1994</t>
        </is>
      </c>
      <c r="O1344" t="inlineStr">
        <is>
          <t>eng</t>
        </is>
      </c>
      <c r="P1344" t="inlineStr">
        <is>
          <t>nju</t>
        </is>
      </c>
      <c r="R1344" t="inlineStr">
        <is>
          <t xml:space="preserve">BF </t>
        </is>
      </c>
      <c r="S1344" t="n">
        <v>1</v>
      </c>
      <c r="T1344" t="n">
        <v>1</v>
      </c>
      <c r="U1344" t="inlineStr">
        <is>
          <t>1999-02-18</t>
        </is>
      </c>
      <c r="V1344" t="inlineStr">
        <is>
          <t>1999-02-18</t>
        </is>
      </c>
      <c r="W1344" t="inlineStr">
        <is>
          <t>1999-02-18</t>
        </is>
      </c>
      <c r="X1344" t="inlineStr">
        <is>
          <t>1999-02-18</t>
        </is>
      </c>
      <c r="Y1344" t="n">
        <v>214</v>
      </c>
      <c r="Z1344" t="n">
        <v>195</v>
      </c>
      <c r="AA1344" t="n">
        <v>196</v>
      </c>
      <c r="AB1344" t="n">
        <v>1</v>
      </c>
      <c r="AC1344" t="n">
        <v>1</v>
      </c>
      <c r="AD1344" t="n">
        <v>13</v>
      </c>
      <c r="AE1344" t="n">
        <v>13</v>
      </c>
      <c r="AF1344" t="n">
        <v>5</v>
      </c>
      <c r="AG1344" t="n">
        <v>5</v>
      </c>
      <c r="AH1344" t="n">
        <v>7</v>
      </c>
      <c r="AI1344" t="n">
        <v>7</v>
      </c>
      <c r="AJ1344" t="n">
        <v>8</v>
      </c>
      <c r="AK1344" t="n">
        <v>8</v>
      </c>
      <c r="AL1344" t="n">
        <v>0</v>
      </c>
      <c r="AM1344" t="n">
        <v>0</v>
      </c>
      <c r="AN1344" t="n">
        <v>0</v>
      </c>
      <c r="AO1344" t="n">
        <v>0</v>
      </c>
      <c r="AP1344" t="inlineStr">
        <is>
          <t>No</t>
        </is>
      </c>
      <c r="AQ1344" t="inlineStr">
        <is>
          <t>No</t>
        </is>
      </c>
      <c r="AS1344">
        <f>HYPERLINK("https://creighton-primo.hosted.exlibrisgroup.com/primo-explore/search?tab=default_tab&amp;search_scope=EVERYTHING&amp;vid=01CRU&amp;lang=en_US&amp;offset=0&amp;query=any,contains,991000876789702656","Catalog Record")</f>
        <v/>
      </c>
      <c r="AT1344">
        <f>HYPERLINK("http://www.worldcat.org/oclc/30071188","WorldCat Record")</f>
        <v/>
      </c>
    </row>
    <row r="1345">
      <c r="A1345" t="inlineStr">
        <is>
          <t>No</t>
        </is>
      </c>
      <c r="B1345" t="inlineStr">
        <is>
          <t>BF 575.E55 E555 1990</t>
        </is>
      </c>
      <c r="C1345" t="inlineStr">
        <is>
          <t>0                      BF 0575000E  55                 E  555         1990</t>
        </is>
      </c>
      <c r="D1345" t="inlineStr">
        <is>
          <t>Empathy in the helping relationship / Ruth C. MacKay, Jean R. Hughes, E. Joyce Carver, editors.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L1345" t="inlineStr">
        <is>
          <t>New York, NY : Springer Pub. Co., c1990.</t>
        </is>
      </c>
      <c r="M1345" t="inlineStr">
        <is>
          <t>1990</t>
        </is>
      </c>
      <c r="O1345" t="inlineStr">
        <is>
          <t>eng</t>
        </is>
      </c>
      <c r="P1345" t="inlineStr">
        <is>
          <t>xxu</t>
        </is>
      </c>
      <c r="R1345" t="inlineStr">
        <is>
          <t xml:space="preserve">BF </t>
        </is>
      </c>
      <c r="S1345" t="n">
        <v>2</v>
      </c>
      <c r="T1345" t="n">
        <v>2</v>
      </c>
      <c r="U1345" t="inlineStr">
        <is>
          <t>2009-06-25</t>
        </is>
      </c>
      <c r="V1345" t="inlineStr">
        <is>
          <t>2009-06-25</t>
        </is>
      </c>
      <c r="W1345" t="inlineStr">
        <is>
          <t>1990-06-15</t>
        </is>
      </c>
      <c r="X1345" t="inlineStr">
        <is>
          <t>1990-06-15</t>
        </is>
      </c>
      <c r="Y1345" t="n">
        <v>279</v>
      </c>
      <c r="Z1345" t="n">
        <v>227</v>
      </c>
      <c r="AA1345" t="n">
        <v>230</v>
      </c>
      <c r="AB1345" t="n">
        <v>2</v>
      </c>
      <c r="AC1345" t="n">
        <v>2</v>
      </c>
      <c r="AD1345" t="n">
        <v>14</v>
      </c>
      <c r="AE1345" t="n">
        <v>14</v>
      </c>
      <c r="AF1345" t="n">
        <v>7</v>
      </c>
      <c r="AG1345" t="n">
        <v>7</v>
      </c>
      <c r="AH1345" t="n">
        <v>1</v>
      </c>
      <c r="AI1345" t="n">
        <v>1</v>
      </c>
      <c r="AJ1345" t="n">
        <v>10</v>
      </c>
      <c r="AK1345" t="n">
        <v>10</v>
      </c>
      <c r="AL1345" t="n">
        <v>1</v>
      </c>
      <c r="AM1345" t="n">
        <v>1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Yes</t>
        </is>
      </c>
      <c r="AR1345">
        <f>HYPERLINK("http://catalog.hathitrust.org/Record/001838357","HathiTrust Record")</f>
        <v/>
      </c>
      <c r="AS1345">
        <f>HYPERLINK("https://creighton-primo.hosted.exlibrisgroup.com/primo-explore/search?tab=default_tab&amp;search_scope=EVERYTHING&amp;vid=01CRU&amp;lang=en_US&amp;offset=0&amp;query=any,contains,991001449199702656","Catalog Record")</f>
        <v/>
      </c>
      <c r="AT1345">
        <f>HYPERLINK("http://www.worldcat.org/oclc/19814790","WorldCat Record")</f>
        <v/>
      </c>
    </row>
    <row r="1346">
      <c r="A1346" t="inlineStr">
        <is>
          <t>No</t>
        </is>
      </c>
      <c r="B1346" t="inlineStr">
        <is>
          <t>BF 575.G7 F692 1990</t>
        </is>
      </c>
      <c r="C1346" t="inlineStr">
        <is>
          <t>0                      BF 0575000G  7                  F  692         1990</t>
        </is>
      </c>
      <c r="D1346" t="inlineStr">
        <is>
          <t>For the bereaved : the road to recovery / edited by Austin H. Kutscher ... [et al.].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L1346" t="inlineStr">
        <is>
          <t>Philadelphia : Charles Press, c1990.</t>
        </is>
      </c>
      <c r="M1346" t="inlineStr">
        <is>
          <t>1990</t>
        </is>
      </c>
      <c r="O1346" t="inlineStr">
        <is>
          <t>eng</t>
        </is>
      </c>
      <c r="P1346" t="inlineStr">
        <is>
          <t>xxu</t>
        </is>
      </c>
      <c r="R1346" t="inlineStr">
        <is>
          <t xml:space="preserve">BF </t>
        </is>
      </c>
      <c r="S1346" t="n">
        <v>3</v>
      </c>
      <c r="T1346" t="n">
        <v>3</v>
      </c>
      <c r="U1346" t="inlineStr">
        <is>
          <t>1998-04-08</t>
        </is>
      </c>
      <c r="V1346" t="inlineStr">
        <is>
          <t>1998-04-08</t>
        </is>
      </c>
      <c r="W1346" t="inlineStr">
        <is>
          <t>1993-06-14</t>
        </is>
      </c>
      <c r="X1346" t="inlineStr">
        <is>
          <t>1993-06-14</t>
        </is>
      </c>
      <c r="Y1346" t="n">
        <v>361</v>
      </c>
      <c r="Z1346" t="n">
        <v>317</v>
      </c>
      <c r="AA1346" t="n">
        <v>385</v>
      </c>
      <c r="AB1346" t="n">
        <v>2</v>
      </c>
      <c r="AC1346" t="n">
        <v>2</v>
      </c>
      <c r="AD1346" t="n">
        <v>6</v>
      </c>
      <c r="AE1346" t="n">
        <v>8</v>
      </c>
      <c r="AF1346" t="n">
        <v>1</v>
      </c>
      <c r="AG1346" t="n">
        <v>1</v>
      </c>
      <c r="AH1346" t="n">
        <v>1</v>
      </c>
      <c r="AI1346" t="n">
        <v>3</v>
      </c>
      <c r="AJ1346" t="n">
        <v>4</v>
      </c>
      <c r="AK1346" t="n">
        <v>4</v>
      </c>
      <c r="AL1346" t="n">
        <v>1</v>
      </c>
      <c r="AM1346" t="n">
        <v>1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No</t>
        </is>
      </c>
      <c r="AS1346">
        <f>HYPERLINK("https://creighton-primo.hosted.exlibrisgroup.com/primo-explore/search?tab=default_tab&amp;search_scope=EVERYTHING&amp;vid=01CRU&amp;lang=en_US&amp;offset=0&amp;query=any,contains,991001481599702656","Catalog Record")</f>
        <v/>
      </c>
      <c r="AT1346">
        <f>HYPERLINK("http://www.worldcat.org/oclc/20217634","WorldCat Record")</f>
        <v/>
      </c>
    </row>
    <row r="1347">
      <c r="A1347" t="inlineStr">
        <is>
          <t>No</t>
        </is>
      </c>
      <c r="B1347" t="inlineStr">
        <is>
          <t>BF 575.G7 J69a 1987</t>
        </is>
      </c>
      <c r="C1347" t="inlineStr">
        <is>
          <t>0                      BF 0575000G  7                  J  69a         1987</t>
        </is>
      </c>
      <c r="D1347" t="inlineStr">
        <is>
          <t>After a child dies : counseling bereaved families / Sherry E. Johnson.</t>
        </is>
      </c>
      <c r="F1347" t="inlineStr">
        <is>
          <t>No</t>
        </is>
      </c>
      <c r="G1347" t="inlineStr">
        <is>
          <t>1</t>
        </is>
      </c>
      <c r="H1347" t="inlineStr">
        <is>
          <t>Yes</t>
        </is>
      </c>
      <c r="I1347" t="inlineStr">
        <is>
          <t>No</t>
        </is>
      </c>
      <c r="J1347" t="inlineStr">
        <is>
          <t>0</t>
        </is>
      </c>
      <c r="K1347" t="inlineStr">
        <is>
          <t>Johnson, Sherry E.</t>
        </is>
      </c>
      <c r="L1347" t="inlineStr">
        <is>
          <t>New York, NY : Springer Pub. Co., c1987.</t>
        </is>
      </c>
      <c r="M1347" t="inlineStr">
        <is>
          <t>1987</t>
        </is>
      </c>
      <c r="O1347" t="inlineStr">
        <is>
          <t>eng</t>
        </is>
      </c>
      <c r="P1347" t="inlineStr">
        <is>
          <t>xxu</t>
        </is>
      </c>
      <c r="R1347" t="inlineStr">
        <is>
          <t xml:space="preserve">BF </t>
        </is>
      </c>
      <c r="S1347" t="n">
        <v>9</v>
      </c>
      <c r="T1347" t="n">
        <v>9</v>
      </c>
      <c r="U1347" t="inlineStr">
        <is>
          <t>1997-03-13</t>
        </is>
      </c>
      <c r="V1347" t="inlineStr">
        <is>
          <t>1997-03-13</t>
        </is>
      </c>
      <c r="W1347" t="inlineStr">
        <is>
          <t>1988-02-19</t>
        </is>
      </c>
      <c r="X1347" t="inlineStr">
        <is>
          <t>1988-02-19</t>
        </is>
      </c>
      <c r="Y1347" t="n">
        <v>731</v>
      </c>
      <c r="Z1347" t="n">
        <v>638</v>
      </c>
      <c r="AA1347" t="n">
        <v>641</v>
      </c>
      <c r="AB1347" t="n">
        <v>8</v>
      </c>
      <c r="AC1347" t="n">
        <v>8</v>
      </c>
      <c r="AD1347" t="n">
        <v>25</v>
      </c>
      <c r="AE1347" t="n">
        <v>25</v>
      </c>
      <c r="AF1347" t="n">
        <v>6</v>
      </c>
      <c r="AG1347" t="n">
        <v>6</v>
      </c>
      <c r="AH1347" t="n">
        <v>6</v>
      </c>
      <c r="AI1347" t="n">
        <v>6</v>
      </c>
      <c r="AJ1347" t="n">
        <v>13</v>
      </c>
      <c r="AK1347" t="n">
        <v>13</v>
      </c>
      <c r="AL1347" t="n">
        <v>5</v>
      </c>
      <c r="AM1347" t="n">
        <v>5</v>
      </c>
      <c r="AN1347" t="n">
        <v>0</v>
      </c>
      <c r="AO1347" t="n">
        <v>0</v>
      </c>
      <c r="AP1347" t="inlineStr">
        <is>
          <t>No</t>
        </is>
      </c>
      <c r="AQ1347" t="inlineStr">
        <is>
          <t>Yes</t>
        </is>
      </c>
      <c r="AR1347">
        <f>HYPERLINK("http://catalog.hathitrust.org/Record/007550997","HathiTrust Record")</f>
        <v/>
      </c>
      <c r="AS1347">
        <f>HYPERLINK("https://creighton-primo.hosted.exlibrisgroup.com/primo-explore/search?tab=default_tab&amp;search_scope=EVERYTHING&amp;vid=01CRU&amp;lang=en_US&amp;offset=0&amp;query=any,contains,991001172949702656","Catalog Record")</f>
        <v/>
      </c>
      <c r="AT1347">
        <f>HYPERLINK("http://www.worldcat.org/oclc/16226856","WorldCat Record")</f>
        <v/>
      </c>
    </row>
    <row r="1348">
      <c r="A1348" t="inlineStr">
        <is>
          <t>No</t>
        </is>
      </c>
      <c r="B1348" t="inlineStr">
        <is>
          <t>BF 575.G7 K63p 1988</t>
        </is>
      </c>
      <c r="C1348" t="inlineStr">
        <is>
          <t>0                      BF 0575000G  7                  K  63p         1988</t>
        </is>
      </c>
      <c r="D1348" t="inlineStr">
        <is>
          <t>Parental grief : solace and resolution / Dennis Klass.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Klass, Dennis.</t>
        </is>
      </c>
      <c r="L1348" t="inlineStr">
        <is>
          <t>New York : Springer Pub. Co., c1988.</t>
        </is>
      </c>
      <c r="M1348" t="inlineStr">
        <is>
          <t>1988</t>
        </is>
      </c>
      <c r="O1348" t="inlineStr">
        <is>
          <t>eng</t>
        </is>
      </c>
      <c r="P1348" t="inlineStr">
        <is>
          <t>xxu</t>
        </is>
      </c>
      <c r="Q1348" t="inlineStr">
        <is>
          <t>The Springer series on death and suicide ; v. 9.</t>
        </is>
      </c>
      <c r="R1348" t="inlineStr">
        <is>
          <t xml:space="preserve">BF </t>
        </is>
      </c>
      <c r="S1348" t="n">
        <v>10</v>
      </c>
      <c r="T1348" t="n">
        <v>10</v>
      </c>
      <c r="U1348" t="inlineStr">
        <is>
          <t>1992-10-30</t>
        </is>
      </c>
      <c r="V1348" t="inlineStr">
        <is>
          <t>1992-10-30</t>
        </is>
      </c>
      <c r="W1348" t="inlineStr">
        <is>
          <t>1988-12-28</t>
        </is>
      </c>
      <c r="X1348" t="inlineStr">
        <is>
          <t>1988-12-28</t>
        </is>
      </c>
      <c r="Y1348" t="n">
        <v>343</v>
      </c>
      <c r="Z1348" t="n">
        <v>297</v>
      </c>
      <c r="AA1348" t="n">
        <v>299</v>
      </c>
      <c r="AB1348" t="n">
        <v>2</v>
      </c>
      <c r="AC1348" t="n">
        <v>2</v>
      </c>
      <c r="AD1348" t="n">
        <v>10</v>
      </c>
      <c r="AE1348" t="n">
        <v>10</v>
      </c>
      <c r="AF1348" t="n">
        <v>3</v>
      </c>
      <c r="AG1348" t="n">
        <v>3</v>
      </c>
      <c r="AH1348" t="n">
        <v>0</v>
      </c>
      <c r="AI1348" t="n">
        <v>0</v>
      </c>
      <c r="AJ1348" t="n">
        <v>9</v>
      </c>
      <c r="AK1348" t="n">
        <v>9</v>
      </c>
      <c r="AL1348" t="n">
        <v>1</v>
      </c>
      <c r="AM1348" t="n">
        <v>1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Yes</t>
        </is>
      </c>
      <c r="AR1348">
        <f>HYPERLINK("http://catalog.hathitrust.org/Record/000929304","HathiTrust Record")</f>
        <v/>
      </c>
      <c r="AS1348">
        <f>HYPERLINK("https://creighton-primo.hosted.exlibrisgroup.com/primo-explore/search?tab=default_tab&amp;search_scope=EVERYTHING&amp;vid=01CRU&amp;lang=en_US&amp;offset=0&amp;query=any,contains,991001112769702656","Catalog Record")</f>
        <v/>
      </c>
      <c r="AT1348">
        <f>HYPERLINK("http://www.worldcat.org/oclc/17731076","WorldCat Record")</f>
        <v/>
      </c>
    </row>
    <row r="1349">
      <c r="A1349" t="inlineStr">
        <is>
          <t>No</t>
        </is>
      </c>
      <c r="B1349" t="inlineStr">
        <is>
          <t>BF 575.G7 L881 1986</t>
        </is>
      </c>
      <c r="C1349" t="inlineStr">
        <is>
          <t>0                      BF 0575000G  7                  L  881         1986</t>
        </is>
      </c>
      <c r="D1349" t="inlineStr">
        <is>
          <t>Loss and anticipatory grief / edited by Therese A. Rando ; foreword by Robert Fulton.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L1349" t="inlineStr">
        <is>
          <t>Lexington, Mass. : Lexington Books, c1986.</t>
        </is>
      </c>
      <c r="M1349" t="inlineStr">
        <is>
          <t>1986</t>
        </is>
      </c>
      <c r="O1349" t="inlineStr">
        <is>
          <t>eng</t>
        </is>
      </c>
      <c r="P1349" t="inlineStr">
        <is>
          <t>mau</t>
        </is>
      </c>
      <c r="R1349" t="inlineStr">
        <is>
          <t xml:space="preserve">BF </t>
        </is>
      </c>
      <c r="S1349" t="n">
        <v>5</v>
      </c>
      <c r="T1349" t="n">
        <v>5</v>
      </c>
      <c r="U1349" t="inlineStr">
        <is>
          <t>1991-07-29</t>
        </is>
      </c>
      <c r="V1349" t="inlineStr">
        <is>
          <t>1991-07-29</t>
        </is>
      </c>
      <c r="W1349" t="inlineStr">
        <is>
          <t>1987-08-28</t>
        </is>
      </c>
      <c r="X1349" t="inlineStr">
        <is>
          <t>1987-08-28</t>
        </is>
      </c>
      <c r="Y1349" t="n">
        <v>891</v>
      </c>
      <c r="Z1349" t="n">
        <v>801</v>
      </c>
      <c r="AA1349" t="n">
        <v>803</v>
      </c>
      <c r="AB1349" t="n">
        <v>13</v>
      </c>
      <c r="AC1349" t="n">
        <v>13</v>
      </c>
      <c r="AD1349" t="n">
        <v>39</v>
      </c>
      <c r="AE1349" t="n">
        <v>39</v>
      </c>
      <c r="AF1349" t="n">
        <v>13</v>
      </c>
      <c r="AG1349" t="n">
        <v>13</v>
      </c>
      <c r="AH1349" t="n">
        <v>10</v>
      </c>
      <c r="AI1349" t="n">
        <v>10</v>
      </c>
      <c r="AJ1349" t="n">
        <v>16</v>
      </c>
      <c r="AK1349" t="n">
        <v>16</v>
      </c>
      <c r="AL1349" t="n">
        <v>9</v>
      </c>
      <c r="AM1349" t="n">
        <v>9</v>
      </c>
      <c r="AN1349" t="n">
        <v>0</v>
      </c>
      <c r="AO1349" t="n">
        <v>0</v>
      </c>
      <c r="AP1349" t="inlineStr">
        <is>
          <t>No</t>
        </is>
      </c>
      <c r="AQ1349" t="inlineStr">
        <is>
          <t>Yes</t>
        </is>
      </c>
      <c r="AR1349">
        <f>HYPERLINK("http://catalog.hathitrust.org/Record/000395915","HathiTrust Record")</f>
        <v/>
      </c>
      <c r="AS1349">
        <f>HYPERLINK("https://creighton-primo.hosted.exlibrisgroup.com/primo-explore/search?tab=default_tab&amp;search_scope=EVERYTHING&amp;vid=01CRU&amp;lang=en_US&amp;offset=0&amp;query=any,contains,991000788139702656","Catalog Record")</f>
        <v/>
      </c>
      <c r="AT1349">
        <f>HYPERLINK("http://www.worldcat.org/oclc/13066620","WorldCat Record")</f>
        <v/>
      </c>
    </row>
    <row r="1350">
      <c r="A1350" t="inlineStr">
        <is>
          <t>No</t>
        </is>
      </c>
      <c r="B1350" t="inlineStr">
        <is>
          <t>BF 575.G7 N842 1974</t>
        </is>
      </c>
      <c r="C1350" t="inlineStr">
        <is>
          <t>0                      BF 0575000G  7                  N  842         1974</t>
        </is>
      </c>
      <c r="D1350" t="inlineStr">
        <is>
          <t>Normal &amp; pathological responses to bereavement / papers by John Ellard, Vamik Volkan, and Norman L. Paul.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L1350" t="inlineStr">
        <is>
          <t>New York : MSS Information Corp., [1974]</t>
        </is>
      </c>
      <c r="M1350" t="inlineStr">
        <is>
          <t>1974</t>
        </is>
      </c>
      <c r="O1350" t="inlineStr">
        <is>
          <t>eng</t>
        </is>
      </c>
      <c r="P1350" t="inlineStr">
        <is>
          <t>nyu</t>
        </is>
      </c>
      <c r="R1350" t="inlineStr">
        <is>
          <t xml:space="preserve">BF </t>
        </is>
      </c>
      <c r="S1350" t="n">
        <v>6</v>
      </c>
      <c r="T1350" t="n">
        <v>6</v>
      </c>
      <c r="U1350" t="inlineStr">
        <is>
          <t>1995-10-23</t>
        </is>
      </c>
      <c r="V1350" t="inlineStr">
        <is>
          <t>1995-10-23</t>
        </is>
      </c>
      <c r="W1350" t="inlineStr">
        <is>
          <t>1987-11-03</t>
        </is>
      </c>
      <c r="X1350" t="inlineStr">
        <is>
          <t>1987-11-03</t>
        </is>
      </c>
      <c r="Y1350" t="n">
        <v>199</v>
      </c>
      <c r="Z1350" t="n">
        <v>180</v>
      </c>
      <c r="AA1350" t="n">
        <v>182</v>
      </c>
      <c r="AB1350" t="n">
        <v>1</v>
      </c>
      <c r="AC1350" t="n">
        <v>1</v>
      </c>
      <c r="AD1350" t="n">
        <v>3</v>
      </c>
      <c r="AE1350" t="n">
        <v>3</v>
      </c>
      <c r="AF1350" t="n">
        <v>1</v>
      </c>
      <c r="AG1350" t="n">
        <v>1</v>
      </c>
      <c r="AH1350" t="n">
        <v>0</v>
      </c>
      <c r="AI1350" t="n">
        <v>0</v>
      </c>
      <c r="AJ1350" t="n">
        <v>2</v>
      </c>
      <c r="AK1350" t="n">
        <v>2</v>
      </c>
      <c r="AL1350" t="n">
        <v>0</v>
      </c>
      <c r="AM1350" t="n">
        <v>0</v>
      </c>
      <c r="AN1350" t="n">
        <v>0</v>
      </c>
      <c r="AO1350" t="n">
        <v>0</v>
      </c>
      <c r="AP1350" t="inlineStr">
        <is>
          <t>No</t>
        </is>
      </c>
      <c r="AQ1350" t="inlineStr">
        <is>
          <t>Yes</t>
        </is>
      </c>
      <c r="AR1350">
        <f>HYPERLINK("http://catalog.hathitrust.org/Record/000009416","HathiTrust Record")</f>
        <v/>
      </c>
      <c r="AS1350">
        <f>HYPERLINK("https://creighton-primo.hosted.exlibrisgroup.com/primo-explore/search?tab=default_tab&amp;search_scope=EVERYTHING&amp;vid=01CRU&amp;lang=en_US&amp;offset=0&amp;query=any,contains,991000788039702656","Catalog Record")</f>
        <v/>
      </c>
      <c r="AT1350">
        <f>HYPERLINK("http://www.worldcat.org/oclc/668562","WorldCat Record")</f>
        <v/>
      </c>
    </row>
    <row r="1351">
      <c r="A1351" t="inlineStr">
        <is>
          <t>No</t>
        </is>
      </c>
      <c r="B1351" t="inlineStr">
        <is>
          <t>BF 575.G7 S333b 1977</t>
        </is>
      </c>
      <c r="C1351" t="inlineStr">
        <is>
          <t>0                      BF 0575000G  7                  S  333b        1977</t>
        </is>
      </c>
      <c r="D1351" t="inlineStr">
        <is>
          <t>The bereaved parent / Harriet Sarnoff Schiff.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Schiff, Harriet Sarnoff.</t>
        </is>
      </c>
      <c r="L1351" t="inlineStr">
        <is>
          <t>New York : Crown Publishers, 1977.</t>
        </is>
      </c>
      <c r="M1351" t="inlineStr">
        <is>
          <t>1977</t>
        </is>
      </c>
      <c r="O1351" t="inlineStr">
        <is>
          <t>eng</t>
        </is>
      </c>
      <c r="P1351" t="inlineStr">
        <is>
          <t>nyu</t>
        </is>
      </c>
      <c r="R1351" t="inlineStr">
        <is>
          <t xml:space="preserve">BF </t>
        </is>
      </c>
      <c r="S1351" t="n">
        <v>4</v>
      </c>
      <c r="T1351" t="n">
        <v>4</v>
      </c>
      <c r="U1351" t="inlineStr">
        <is>
          <t>1992-10-30</t>
        </is>
      </c>
      <c r="V1351" t="inlineStr">
        <is>
          <t>1992-10-30</t>
        </is>
      </c>
      <c r="W1351" t="inlineStr">
        <is>
          <t>1987-08-28</t>
        </is>
      </c>
      <c r="X1351" t="inlineStr">
        <is>
          <t>1987-08-28</t>
        </is>
      </c>
      <c r="Y1351" t="n">
        <v>860</v>
      </c>
      <c r="Z1351" t="n">
        <v>801</v>
      </c>
      <c r="AA1351" t="n">
        <v>1255</v>
      </c>
      <c r="AB1351" t="n">
        <v>7</v>
      </c>
      <c r="AC1351" t="n">
        <v>14</v>
      </c>
      <c r="AD1351" t="n">
        <v>7</v>
      </c>
      <c r="AE1351" t="n">
        <v>22</v>
      </c>
      <c r="AF1351" t="n">
        <v>0</v>
      </c>
      <c r="AG1351" t="n">
        <v>9</v>
      </c>
      <c r="AH1351" t="n">
        <v>1</v>
      </c>
      <c r="AI1351" t="n">
        <v>4</v>
      </c>
      <c r="AJ1351" t="n">
        <v>4</v>
      </c>
      <c r="AK1351" t="n">
        <v>10</v>
      </c>
      <c r="AL1351" t="n">
        <v>2</v>
      </c>
      <c r="AM1351" t="n">
        <v>3</v>
      </c>
      <c r="AN1351" t="n">
        <v>0</v>
      </c>
      <c r="AO1351" t="n">
        <v>0</v>
      </c>
      <c r="AP1351" t="inlineStr">
        <is>
          <t>No</t>
        </is>
      </c>
      <c r="AQ1351" t="inlineStr">
        <is>
          <t>Yes</t>
        </is>
      </c>
      <c r="AR1351">
        <f>HYPERLINK("http://catalog.hathitrust.org/Record/000084714","HathiTrust Record")</f>
        <v/>
      </c>
      <c r="AS1351">
        <f>HYPERLINK("https://creighton-primo.hosted.exlibrisgroup.com/primo-explore/search?tab=default_tab&amp;search_scope=EVERYTHING&amp;vid=01CRU&amp;lang=en_US&amp;offset=0&amp;query=any,contains,991000788289702656","Catalog Record")</f>
        <v/>
      </c>
      <c r="AT1351">
        <f>HYPERLINK("http://www.worldcat.org/oclc/2525298","WorldCat Record")</f>
        <v/>
      </c>
    </row>
    <row r="1352">
      <c r="A1352" t="inlineStr">
        <is>
          <t>No</t>
        </is>
      </c>
      <c r="B1352" t="inlineStr">
        <is>
          <t>BF 575.G7 S359s 1984</t>
        </is>
      </c>
      <c r="C1352" t="inlineStr">
        <is>
          <t>0                      BF 0575000G  7                  S  359s        1984</t>
        </is>
      </c>
      <c r="D1352" t="inlineStr">
        <is>
          <t>Stress, loss, and grief : understanding their origins and growth potential / by John Schneider.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Schneider, John, 1939-</t>
        </is>
      </c>
      <c r="L1352" t="inlineStr">
        <is>
          <t>Baltimore : University Park Press, c1984.</t>
        </is>
      </c>
      <c r="M1352" t="inlineStr">
        <is>
          <t>1984</t>
        </is>
      </c>
      <c r="O1352" t="inlineStr">
        <is>
          <t>eng</t>
        </is>
      </c>
      <c r="P1352" t="inlineStr">
        <is>
          <t>xxu</t>
        </is>
      </c>
      <c r="R1352" t="inlineStr">
        <is>
          <t xml:space="preserve">BF </t>
        </is>
      </c>
      <c r="S1352" t="n">
        <v>11</v>
      </c>
      <c r="T1352" t="n">
        <v>11</v>
      </c>
      <c r="U1352" t="inlineStr">
        <is>
          <t>1999-06-18</t>
        </is>
      </c>
      <c r="V1352" t="inlineStr">
        <is>
          <t>1999-06-18</t>
        </is>
      </c>
      <c r="W1352" t="inlineStr">
        <is>
          <t>1987-08-28</t>
        </is>
      </c>
      <c r="X1352" t="inlineStr">
        <is>
          <t>1987-08-28</t>
        </is>
      </c>
      <c r="Y1352" t="n">
        <v>380</v>
      </c>
      <c r="Z1352" t="n">
        <v>342</v>
      </c>
      <c r="AA1352" t="n">
        <v>356</v>
      </c>
      <c r="AB1352" t="n">
        <v>1</v>
      </c>
      <c r="AC1352" t="n">
        <v>1</v>
      </c>
      <c r="AD1352" t="n">
        <v>12</v>
      </c>
      <c r="AE1352" t="n">
        <v>13</v>
      </c>
      <c r="AF1352" t="n">
        <v>6</v>
      </c>
      <c r="AG1352" t="n">
        <v>6</v>
      </c>
      <c r="AH1352" t="n">
        <v>0</v>
      </c>
      <c r="AI1352" t="n">
        <v>1</v>
      </c>
      <c r="AJ1352" t="n">
        <v>7</v>
      </c>
      <c r="AK1352" t="n">
        <v>7</v>
      </c>
      <c r="AL1352" t="n">
        <v>0</v>
      </c>
      <c r="AM1352" t="n">
        <v>0</v>
      </c>
      <c r="AN1352" t="n">
        <v>0</v>
      </c>
      <c r="AO1352" t="n">
        <v>0</v>
      </c>
      <c r="AP1352" t="inlineStr">
        <is>
          <t>No</t>
        </is>
      </c>
      <c r="AQ1352" t="inlineStr">
        <is>
          <t>Yes</t>
        </is>
      </c>
      <c r="AR1352">
        <f>HYPERLINK("http://catalog.hathitrust.org/Record/007129520","HathiTrust Record")</f>
        <v/>
      </c>
      <c r="AS1352">
        <f>HYPERLINK("https://creighton-primo.hosted.exlibrisgroup.com/primo-explore/search?tab=default_tab&amp;search_scope=EVERYTHING&amp;vid=01CRU&amp;lang=en_US&amp;offset=0&amp;query=any,contains,991000788329702656","Catalog Record")</f>
        <v/>
      </c>
      <c r="AT1352">
        <f>HYPERLINK("http://www.worldcat.org/oclc/9762407","WorldCat Record")</f>
        <v/>
      </c>
    </row>
    <row r="1353">
      <c r="A1353" t="inlineStr">
        <is>
          <t>No</t>
        </is>
      </c>
      <c r="B1353" t="inlineStr">
        <is>
          <t>BF 575.L3 B498¿ 1956</t>
        </is>
      </c>
      <c r="C1353" t="inlineStr">
        <is>
          <t>0                      BF 0575000L  3                                                       B498¿ 1956</t>
        </is>
      </c>
      <c r="D1353" t="inlineStr">
        <is>
          <t>Laughter and the sense of humor / Edmund Bergler.</t>
        </is>
      </c>
      <c r="F1353" t="inlineStr">
        <is>
          <t>No</t>
        </is>
      </c>
      <c r="G1353" t="inlineStr">
        <is>
          <t>1</t>
        </is>
      </c>
      <c r="H1353" t="inlineStr">
        <is>
          <t>No</t>
        </is>
      </c>
      <c r="I1353" t="inlineStr">
        <is>
          <t>No</t>
        </is>
      </c>
      <c r="J1353" t="inlineStr">
        <is>
          <t>0</t>
        </is>
      </c>
      <c r="K1353" t="inlineStr">
        <is>
          <t>Bergler, Edmund, 1899-1962.</t>
        </is>
      </c>
      <c r="L1353" t="inlineStr">
        <is>
          <t>New York : Intercontinental Medical Book Corp., c1956.</t>
        </is>
      </c>
      <c r="M1353" t="inlineStr">
        <is>
          <t>1956</t>
        </is>
      </c>
      <c r="O1353" t="inlineStr">
        <is>
          <t>eng</t>
        </is>
      </c>
      <c r="P1353" t="inlineStr">
        <is>
          <t>nyu</t>
        </is>
      </c>
      <c r="R1353" t="inlineStr">
        <is>
          <t xml:space="preserve">BF </t>
        </is>
      </c>
      <c r="S1353" t="n">
        <v>5</v>
      </c>
      <c r="T1353" t="n">
        <v>5</v>
      </c>
      <c r="U1353" t="inlineStr">
        <is>
          <t>1996-01-29</t>
        </is>
      </c>
      <c r="V1353" t="inlineStr">
        <is>
          <t>1996-01-29</t>
        </is>
      </c>
      <c r="W1353" t="inlineStr">
        <is>
          <t>1988-02-29</t>
        </is>
      </c>
      <c r="X1353" t="inlineStr">
        <is>
          <t>1988-02-29</t>
        </is>
      </c>
      <c r="Y1353" t="n">
        <v>445</v>
      </c>
      <c r="Z1353" t="n">
        <v>402</v>
      </c>
      <c r="AA1353" t="n">
        <v>433</v>
      </c>
      <c r="AB1353" t="n">
        <v>3</v>
      </c>
      <c r="AC1353" t="n">
        <v>3</v>
      </c>
      <c r="AD1353" t="n">
        <v>16</v>
      </c>
      <c r="AE1353" t="n">
        <v>19</v>
      </c>
      <c r="AF1353" t="n">
        <v>5</v>
      </c>
      <c r="AG1353" t="n">
        <v>6</v>
      </c>
      <c r="AH1353" t="n">
        <v>3</v>
      </c>
      <c r="AI1353" t="n">
        <v>3</v>
      </c>
      <c r="AJ1353" t="n">
        <v>8</v>
      </c>
      <c r="AK1353" t="n">
        <v>10</v>
      </c>
      <c r="AL1353" t="n">
        <v>2</v>
      </c>
      <c r="AM1353" t="n">
        <v>2</v>
      </c>
      <c r="AN1353" t="n">
        <v>0</v>
      </c>
      <c r="AO1353" t="n">
        <v>0</v>
      </c>
      <c r="AP1353" t="inlineStr">
        <is>
          <t>No</t>
        </is>
      </c>
      <c r="AQ1353" t="inlineStr">
        <is>
          <t>No</t>
        </is>
      </c>
      <c r="AR1353">
        <f>HYPERLINK("http://catalog.hathitrust.org/Record/000741560","HathiTrust Record")</f>
        <v/>
      </c>
      <c r="AS1353">
        <f>HYPERLINK("https://creighton-primo.hosted.exlibrisgroup.com/primo-explore/search?tab=default_tab&amp;search_scope=EVERYTHING&amp;vid=01CRU&amp;lang=en_US&amp;offset=0&amp;query=any,contains,991000788429702656","Catalog Record")</f>
        <v/>
      </c>
      <c r="AT1353">
        <f>HYPERLINK("http://www.worldcat.org/oclc/203919","WorldCat Record")</f>
        <v/>
      </c>
    </row>
    <row r="1354">
      <c r="A1354" t="inlineStr">
        <is>
          <t>No</t>
        </is>
      </c>
      <c r="B1354" t="inlineStr">
        <is>
          <t>BF 575.S75  C477 1984</t>
        </is>
      </c>
      <c r="C1354" t="inlineStr">
        <is>
          <t>0                      BF 0575000S  75                 C  477         1984</t>
        </is>
      </c>
      <c r="D1354" t="inlineStr">
        <is>
          <t>Stress management : a comprehensive guide to wellness / Edward A. Charlesworth, Ronald G. Nathan.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Yes</t>
        </is>
      </c>
      <c r="J1354" t="inlineStr">
        <is>
          <t>0</t>
        </is>
      </c>
      <c r="K1354" t="inlineStr">
        <is>
          <t>Charlesworth, Edward A., 1949-</t>
        </is>
      </c>
      <c r="L1354" t="inlineStr">
        <is>
          <t>New York, NY : Ballantine, c1984.</t>
        </is>
      </c>
      <c r="M1354" t="inlineStr">
        <is>
          <t>1984</t>
        </is>
      </c>
      <c r="N1354" t="inlineStr">
        <is>
          <t>Rev. and update ed.</t>
        </is>
      </c>
      <c r="O1354" t="inlineStr">
        <is>
          <t>eng</t>
        </is>
      </c>
      <c r="P1354" t="inlineStr">
        <is>
          <t>nyu</t>
        </is>
      </c>
      <c r="R1354" t="inlineStr">
        <is>
          <t xml:space="preserve">BF </t>
        </is>
      </c>
      <c r="S1354" t="n">
        <v>25</v>
      </c>
      <c r="T1354" t="n">
        <v>25</v>
      </c>
      <c r="U1354" t="inlineStr">
        <is>
          <t>1999-04-28</t>
        </is>
      </c>
      <c r="V1354" t="inlineStr">
        <is>
          <t>1999-04-28</t>
        </is>
      </c>
      <c r="W1354" t="inlineStr">
        <is>
          <t>1987-08-28</t>
        </is>
      </c>
      <c r="X1354" t="inlineStr">
        <is>
          <t>1987-08-28</t>
        </is>
      </c>
      <c r="Y1354" t="n">
        <v>198</v>
      </c>
      <c r="Z1354" t="n">
        <v>188</v>
      </c>
      <c r="AA1354" t="n">
        <v>1067</v>
      </c>
      <c r="AB1354" t="n">
        <v>3</v>
      </c>
      <c r="AC1354" t="n">
        <v>10</v>
      </c>
      <c r="AD1354" t="n">
        <v>3</v>
      </c>
      <c r="AE1354" t="n">
        <v>28</v>
      </c>
      <c r="AF1354" t="n">
        <v>1</v>
      </c>
      <c r="AG1354" t="n">
        <v>9</v>
      </c>
      <c r="AH1354" t="n">
        <v>0</v>
      </c>
      <c r="AI1354" t="n">
        <v>4</v>
      </c>
      <c r="AJ1354" t="n">
        <v>1</v>
      </c>
      <c r="AK1354" t="n">
        <v>13</v>
      </c>
      <c r="AL1354" t="n">
        <v>1</v>
      </c>
      <c r="AM1354" t="n">
        <v>7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No</t>
        </is>
      </c>
      <c r="AS1354">
        <f>HYPERLINK("https://creighton-primo.hosted.exlibrisgroup.com/primo-explore/search?tab=default_tab&amp;search_scope=EVERYTHING&amp;vid=01CRU&amp;lang=en_US&amp;offset=0&amp;query=any,contains,991000487469702656","Catalog Record")</f>
        <v/>
      </c>
      <c r="AT1354">
        <f>HYPERLINK("http://www.worldcat.org/oclc/12688891","WorldCat Record")</f>
        <v/>
      </c>
    </row>
    <row r="1355">
      <c r="A1355" t="inlineStr">
        <is>
          <t>No</t>
        </is>
      </c>
      <c r="B1355" t="inlineStr">
        <is>
          <t>BF 575.S75 B654c 1996</t>
        </is>
      </c>
      <c r="C1355" t="inlineStr">
        <is>
          <t>0                      BF 0575000S  75                 B  654c        1996</t>
        </is>
      </c>
      <c r="D1355" t="inlineStr">
        <is>
          <t>Coping with stress in a changing world / Richard Blonna.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K1355" t="inlineStr">
        <is>
          <t>Blonna, Richard.</t>
        </is>
      </c>
      <c r="L1355" t="inlineStr">
        <is>
          <t>St. Louis, Mo. : Mosby, c1996.</t>
        </is>
      </c>
      <c r="M1355" t="inlineStr">
        <is>
          <t>1996</t>
        </is>
      </c>
      <c r="O1355" t="inlineStr">
        <is>
          <t>eng</t>
        </is>
      </c>
      <c r="P1355" t="inlineStr">
        <is>
          <t>mou</t>
        </is>
      </c>
      <c r="R1355" t="inlineStr">
        <is>
          <t xml:space="preserve">BF </t>
        </is>
      </c>
      <c r="S1355" t="n">
        <v>14</v>
      </c>
      <c r="T1355" t="n">
        <v>14</v>
      </c>
      <c r="U1355" t="inlineStr">
        <is>
          <t>2003-11-24</t>
        </is>
      </c>
      <c r="V1355" t="inlineStr">
        <is>
          <t>2003-11-24</t>
        </is>
      </c>
      <c r="W1355" t="inlineStr">
        <is>
          <t>1996-03-15</t>
        </is>
      </c>
      <c r="X1355" t="inlineStr">
        <is>
          <t>1996-03-15</t>
        </is>
      </c>
      <c r="Y1355" t="n">
        <v>89</v>
      </c>
      <c r="Z1355" t="n">
        <v>64</v>
      </c>
      <c r="AA1355" t="n">
        <v>175</v>
      </c>
      <c r="AB1355" t="n">
        <v>1</v>
      </c>
      <c r="AC1355" t="n">
        <v>3</v>
      </c>
      <c r="AD1355" t="n">
        <v>2</v>
      </c>
      <c r="AE1355" t="n">
        <v>7</v>
      </c>
      <c r="AF1355" t="n">
        <v>1</v>
      </c>
      <c r="AG1355" t="n">
        <v>2</v>
      </c>
      <c r="AH1355" t="n">
        <v>0</v>
      </c>
      <c r="AI1355" t="n">
        <v>1</v>
      </c>
      <c r="AJ1355" t="n">
        <v>2</v>
      </c>
      <c r="AK1355" t="n">
        <v>3</v>
      </c>
      <c r="AL1355" t="n">
        <v>0</v>
      </c>
      <c r="AM1355" t="n">
        <v>2</v>
      </c>
      <c r="AN1355" t="n">
        <v>0</v>
      </c>
      <c r="AO1355" t="n">
        <v>0</v>
      </c>
      <c r="AP1355" t="inlineStr">
        <is>
          <t>No</t>
        </is>
      </c>
      <c r="AQ1355" t="inlineStr">
        <is>
          <t>No</t>
        </is>
      </c>
      <c r="AS1355">
        <f>HYPERLINK("https://creighton-primo.hosted.exlibrisgroup.com/primo-explore/search?tab=default_tab&amp;search_scope=EVERYTHING&amp;vid=01CRU&amp;lang=en_US&amp;offset=0&amp;query=any,contains,991001488459702656","Catalog Record")</f>
        <v/>
      </c>
      <c r="AT1355">
        <f>HYPERLINK("http://www.worldcat.org/oclc/33162313","WorldCat Record")</f>
        <v/>
      </c>
    </row>
    <row r="1356">
      <c r="A1356" t="inlineStr">
        <is>
          <t>No</t>
        </is>
      </c>
      <c r="B1356" t="inlineStr">
        <is>
          <t>BF 637 K91r 1965</t>
        </is>
      </c>
      <c r="C1356" t="inlineStr">
        <is>
          <t>0                      BF 0637000K  91r         1965</t>
        </is>
      </c>
      <c r="D1356" t="inlineStr">
        <is>
          <t>Research in behavior modification : new developments and implications / edited and introduced by Leonard Krasner and Leonard P. Ullmann.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K1356" t="inlineStr">
        <is>
          <t>Krasner, Leonard, 1924-2007.</t>
        </is>
      </c>
      <c r="L1356" t="inlineStr">
        <is>
          <t>New York : Holt, Rinehart &amp; Winston, 1965.</t>
        </is>
      </c>
      <c r="M1356" t="inlineStr">
        <is>
          <t>1965</t>
        </is>
      </c>
      <c r="O1356" t="inlineStr">
        <is>
          <t>eng</t>
        </is>
      </c>
      <c r="P1356" t="inlineStr">
        <is>
          <t>nyu</t>
        </is>
      </c>
      <c r="R1356" t="inlineStr">
        <is>
          <t xml:space="preserve">BF </t>
        </is>
      </c>
      <c r="S1356" t="n">
        <v>2</v>
      </c>
      <c r="T1356" t="n">
        <v>2</v>
      </c>
      <c r="U1356" t="inlineStr">
        <is>
          <t>1993-10-02</t>
        </is>
      </c>
      <c r="V1356" t="inlineStr">
        <is>
          <t>1993-10-02</t>
        </is>
      </c>
      <c r="W1356" t="inlineStr">
        <is>
          <t>1988-02-29</t>
        </is>
      </c>
      <c r="X1356" t="inlineStr">
        <is>
          <t>1988-02-29</t>
        </is>
      </c>
      <c r="Y1356" t="n">
        <v>817</v>
      </c>
      <c r="Z1356" t="n">
        <v>661</v>
      </c>
      <c r="AA1356" t="n">
        <v>675</v>
      </c>
      <c r="AB1356" t="n">
        <v>6</v>
      </c>
      <c r="AC1356" t="n">
        <v>6</v>
      </c>
      <c r="AD1356" t="n">
        <v>34</v>
      </c>
      <c r="AE1356" t="n">
        <v>34</v>
      </c>
      <c r="AF1356" t="n">
        <v>14</v>
      </c>
      <c r="AG1356" t="n">
        <v>14</v>
      </c>
      <c r="AH1356" t="n">
        <v>6</v>
      </c>
      <c r="AI1356" t="n">
        <v>6</v>
      </c>
      <c r="AJ1356" t="n">
        <v>14</v>
      </c>
      <c r="AK1356" t="n">
        <v>14</v>
      </c>
      <c r="AL1356" t="n">
        <v>5</v>
      </c>
      <c r="AM1356" t="n">
        <v>5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HYPERLINK("http://catalog.hathitrust.org/Record/000618013","HathiTrust Record")</f>
        <v/>
      </c>
      <c r="AS1356">
        <f>HYPERLINK("https://creighton-primo.hosted.exlibrisgroup.com/primo-explore/search?tab=default_tab&amp;search_scope=EVERYTHING&amp;vid=01CRU&amp;lang=en_US&amp;offset=0&amp;query=any,contains,991000788529702656","Catalog Record")</f>
        <v/>
      </c>
      <c r="AT1356">
        <f>HYPERLINK("http://www.worldcat.org/oclc/192088","WorldCat Record")</f>
        <v/>
      </c>
    </row>
    <row r="1357">
      <c r="A1357" t="inlineStr">
        <is>
          <t>No</t>
        </is>
      </c>
      <c r="B1357" t="inlineStr">
        <is>
          <t>BF 637.C45 L654 2008</t>
        </is>
      </c>
      <c r="C1357" t="inlineStr">
        <is>
          <t>0                      BF 0637000C  45                 L  654         2008</t>
        </is>
      </c>
      <c r="D1357" t="inlineStr">
        <is>
          <t>The Communication Skills Workbook Self-assessments, Exercises &amp; Educational Handouts / [by] Esther A. Leutenberg [and] John J. Liptak, illustrated by Amy L. Brodsky.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Leutenberg, Ester A.</t>
        </is>
      </c>
      <c r="L1357" t="inlineStr">
        <is>
          <t>Duluth, Minn. : Whole Person Associates, 2008.</t>
        </is>
      </c>
      <c r="M1357" t="inlineStr">
        <is>
          <t>2008</t>
        </is>
      </c>
      <c r="O1357" t="inlineStr">
        <is>
          <t>eng</t>
        </is>
      </c>
      <c r="P1357" t="inlineStr">
        <is>
          <t>mnu</t>
        </is>
      </c>
      <c r="R1357" t="inlineStr">
        <is>
          <t xml:space="preserve">BF </t>
        </is>
      </c>
      <c r="S1357" t="n">
        <v>26</v>
      </c>
      <c r="T1357" t="n">
        <v>26</v>
      </c>
      <c r="U1357" t="inlineStr">
        <is>
          <t>2010-09-21</t>
        </is>
      </c>
      <c r="V1357" t="inlineStr">
        <is>
          <t>2010-09-21</t>
        </is>
      </c>
      <c r="W1357" t="inlineStr">
        <is>
          <t>2009-08-06</t>
        </is>
      </c>
      <c r="X1357" t="inlineStr">
        <is>
          <t>2009-08-06</t>
        </is>
      </c>
      <c r="Y1357" t="n">
        <v>28</v>
      </c>
      <c r="Z1357" t="n">
        <v>18</v>
      </c>
      <c r="AA1357" t="n">
        <v>19</v>
      </c>
      <c r="AB1357" t="n">
        <v>1</v>
      </c>
      <c r="AC1357" t="n">
        <v>1</v>
      </c>
      <c r="AD1357" t="n">
        <v>0</v>
      </c>
      <c r="AE1357" t="n">
        <v>0</v>
      </c>
      <c r="AF1357" t="n">
        <v>0</v>
      </c>
      <c r="AG1357" t="n">
        <v>0</v>
      </c>
      <c r="AH1357" t="n">
        <v>0</v>
      </c>
      <c r="AI1357" t="n">
        <v>0</v>
      </c>
      <c r="AJ1357" t="n">
        <v>0</v>
      </c>
      <c r="AK1357" t="n">
        <v>0</v>
      </c>
      <c r="AL1357" t="n">
        <v>0</v>
      </c>
      <c r="AM1357" t="n">
        <v>0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No</t>
        </is>
      </c>
      <c r="AS1357">
        <f>HYPERLINK("https://creighton-primo.hosted.exlibrisgroup.com/primo-explore/search?tab=default_tab&amp;search_scope=EVERYTHING&amp;vid=01CRU&amp;lang=en_US&amp;offset=0&amp;query=any,contains,991001483639702656","Catalog Record")</f>
        <v/>
      </c>
      <c r="AT1357">
        <f>HYPERLINK("http://www.worldcat.org/oclc/226361853","WorldCat Record")</f>
        <v/>
      </c>
    </row>
    <row r="1358">
      <c r="A1358" t="inlineStr">
        <is>
          <t>No</t>
        </is>
      </c>
      <c r="B1358" t="inlineStr">
        <is>
          <t>BF 637.H4 B815h 1999</t>
        </is>
      </c>
      <c r="C1358" t="inlineStr">
        <is>
          <t>0                      BF 0637000H  4                  B  815h        1999</t>
        </is>
      </c>
      <c r="D1358" t="inlineStr">
        <is>
          <t>The helping relationship : process and skills / Lawrence M. Brammer, Ginger MacDonald.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Yes</t>
        </is>
      </c>
      <c r="J1358" t="inlineStr">
        <is>
          <t>0</t>
        </is>
      </c>
      <c r="K1358" t="inlineStr">
        <is>
          <t>Brammer, Lawrence M.</t>
        </is>
      </c>
      <c r="L1358" t="inlineStr">
        <is>
          <t>Boston : Allyn and Bacon, c1999.</t>
        </is>
      </c>
      <c r="M1358" t="inlineStr">
        <is>
          <t>1999</t>
        </is>
      </c>
      <c r="N1358" t="inlineStr">
        <is>
          <t>7th ed.</t>
        </is>
      </c>
      <c r="O1358" t="inlineStr">
        <is>
          <t>eng</t>
        </is>
      </c>
      <c r="P1358" t="inlineStr">
        <is>
          <t>mau</t>
        </is>
      </c>
      <c r="R1358" t="inlineStr">
        <is>
          <t xml:space="preserve">BF </t>
        </is>
      </c>
      <c r="S1358" t="n">
        <v>1</v>
      </c>
      <c r="T1358" t="n">
        <v>1</v>
      </c>
      <c r="U1358" t="inlineStr">
        <is>
          <t>1999-04-05</t>
        </is>
      </c>
      <c r="V1358" t="inlineStr">
        <is>
          <t>1999-04-05</t>
        </is>
      </c>
      <c r="W1358" t="inlineStr">
        <is>
          <t>1999-04-01</t>
        </is>
      </c>
      <c r="X1358" t="inlineStr">
        <is>
          <t>1999-04-01</t>
        </is>
      </c>
      <c r="Y1358" t="n">
        <v>186</v>
      </c>
      <c r="Z1358" t="n">
        <v>111</v>
      </c>
      <c r="AA1358" t="n">
        <v>1150</v>
      </c>
      <c r="AB1358" t="n">
        <v>2</v>
      </c>
      <c r="AC1358" t="n">
        <v>10</v>
      </c>
      <c r="AD1358" t="n">
        <v>3</v>
      </c>
      <c r="AE1358" t="n">
        <v>41</v>
      </c>
      <c r="AF1358" t="n">
        <v>2</v>
      </c>
      <c r="AG1358" t="n">
        <v>15</v>
      </c>
      <c r="AH1358" t="n">
        <v>0</v>
      </c>
      <c r="AI1358" t="n">
        <v>9</v>
      </c>
      <c r="AJ1358" t="n">
        <v>2</v>
      </c>
      <c r="AK1358" t="n">
        <v>22</v>
      </c>
      <c r="AL1358" t="n">
        <v>0</v>
      </c>
      <c r="AM1358" t="n">
        <v>6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Yes</t>
        </is>
      </c>
      <c r="AR1358">
        <f>HYPERLINK("http://catalog.hathitrust.org/Record/003325656","HathiTrust Record")</f>
        <v/>
      </c>
      <c r="AS1358">
        <f>HYPERLINK("https://creighton-primo.hosted.exlibrisgroup.com/primo-explore/search?tab=default_tab&amp;search_scope=EVERYTHING&amp;vid=01CRU&amp;lang=en_US&amp;offset=0&amp;query=any,contains,991000844199702656","Catalog Record")</f>
        <v/>
      </c>
      <c r="AT1358">
        <f>HYPERLINK("http://www.worldcat.org/oclc/39216903","WorldCat Record")</f>
        <v/>
      </c>
    </row>
    <row r="1359">
      <c r="A1359" t="inlineStr">
        <is>
          <t>No</t>
        </is>
      </c>
      <c r="B1359" t="inlineStr">
        <is>
          <t>BF 637.I5 I95i 1994</t>
        </is>
      </c>
      <c r="C1359" t="inlineStr">
        <is>
          <t>0                      BF 0637000I  5                  I  95i         1994</t>
        </is>
      </c>
      <c r="D1359" t="inlineStr">
        <is>
          <t>Intentional interviewing and counseling : facilitating client development in a multicultural society / Allen E. Ivey.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Ivey, Allen E.</t>
        </is>
      </c>
      <c r="M1359" t="inlineStr">
        <is>
          <t>1994</t>
        </is>
      </c>
      <c r="N1359" t="inlineStr">
        <is>
          <t>3rd ed.</t>
        </is>
      </c>
      <c r="O1359" t="inlineStr">
        <is>
          <t>eng</t>
        </is>
      </c>
      <c r="P1359" t="inlineStr">
        <is>
          <t>cau</t>
        </is>
      </c>
      <c r="R1359" t="inlineStr">
        <is>
          <t xml:space="preserve">BF </t>
        </is>
      </c>
      <c r="S1359" t="n">
        <v>10</v>
      </c>
      <c r="T1359" t="n">
        <v>10</v>
      </c>
      <c r="U1359" t="inlineStr">
        <is>
          <t>2003-11-16</t>
        </is>
      </c>
      <c r="V1359" t="inlineStr">
        <is>
          <t>2003-11-16</t>
        </is>
      </c>
      <c r="W1359" t="inlineStr">
        <is>
          <t>1995-05-09</t>
        </is>
      </c>
      <c r="X1359" t="inlineStr">
        <is>
          <t>1995-05-09</t>
        </is>
      </c>
      <c r="Y1359" t="n">
        <v>300</v>
      </c>
      <c r="Z1359" t="n">
        <v>193</v>
      </c>
      <c r="AA1359" t="n">
        <v>585</v>
      </c>
      <c r="AB1359" t="n">
        <v>2</v>
      </c>
      <c r="AC1359" t="n">
        <v>2</v>
      </c>
      <c r="AD1359" t="n">
        <v>9</v>
      </c>
      <c r="AE1359" t="n">
        <v>19</v>
      </c>
      <c r="AF1359" t="n">
        <v>1</v>
      </c>
      <c r="AG1359" t="n">
        <v>7</v>
      </c>
      <c r="AH1359" t="n">
        <v>4</v>
      </c>
      <c r="AI1359" t="n">
        <v>5</v>
      </c>
      <c r="AJ1359" t="n">
        <v>5</v>
      </c>
      <c r="AK1359" t="n">
        <v>10</v>
      </c>
      <c r="AL1359" t="n">
        <v>1</v>
      </c>
      <c r="AM1359" t="n">
        <v>1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No</t>
        </is>
      </c>
      <c r="AS1359">
        <f>HYPERLINK("https://creighton-primo.hosted.exlibrisgroup.com/primo-explore/search?tab=default_tab&amp;search_scope=EVERYTHING&amp;vid=01CRU&amp;lang=en_US&amp;offset=0&amp;query=any,contains,991001400079702656","Catalog Record")</f>
        <v/>
      </c>
      <c r="AT1359">
        <f>HYPERLINK("http://www.worldcat.org/oclc/27812939","WorldCat Record")</f>
        <v/>
      </c>
    </row>
    <row r="1360">
      <c r="A1360" t="inlineStr">
        <is>
          <t>No</t>
        </is>
      </c>
      <c r="B1360" t="inlineStr">
        <is>
          <t>BF 637.S8 L192h 1974</t>
        </is>
      </c>
      <c r="C1360" t="inlineStr">
        <is>
          <t>0                      BF 0637000S  8                  L  192h        1974</t>
        </is>
      </c>
      <c r="D1360" t="inlineStr">
        <is>
          <t>How to get control of your time and your life / by Alan Lakein.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Lakein, Alan.</t>
        </is>
      </c>
      <c r="L1360" t="inlineStr">
        <is>
          <t>New York : New American Library, 1974, c1973.</t>
        </is>
      </c>
      <c r="M1360" t="inlineStr">
        <is>
          <t>1974</t>
        </is>
      </c>
      <c r="O1360" t="inlineStr">
        <is>
          <t>eng</t>
        </is>
      </c>
      <c r="P1360" t="inlineStr">
        <is>
          <t>nyu</t>
        </is>
      </c>
      <c r="R1360" t="inlineStr">
        <is>
          <t xml:space="preserve">BF </t>
        </is>
      </c>
      <c r="S1360" t="n">
        <v>6</v>
      </c>
      <c r="T1360" t="n">
        <v>6</v>
      </c>
      <c r="U1360" t="inlineStr">
        <is>
          <t>1995-11-27</t>
        </is>
      </c>
      <c r="V1360" t="inlineStr">
        <is>
          <t>1995-11-27</t>
        </is>
      </c>
      <c r="W1360" t="inlineStr">
        <is>
          <t>1988-02-29</t>
        </is>
      </c>
      <c r="X1360" t="inlineStr">
        <is>
          <t>1988-02-29</t>
        </is>
      </c>
      <c r="Y1360" t="n">
        <v>429</v>
      </c>
      <c r="Z1360" t="n">
        <v>389</v>
      </c>
      <c r="AA1360" t="n">
        <v>1205</v>
      </c>
      <c r="AB1360" t="n">
        <v>1</v>
      </c>
      <c r="AC1360" t="n">
        <v>6</v>
      </c>
      <c r="AD1360" t="n">
        <v>11</v>
      </c>
      <c r="AE1360" t="n">
        <v>29</v>
      </c>
      <c r="AF1360" t="n">
        <v>5</v>
      </c>
      <c r="AG1360" t="n">
        <v>12</v>
      </c>
      <c r="AH1360" t="n">
        <v>1</v>
      </c>
      <c r="AI1360" t="n">
        <v>4</v>
      </c>
      <c r="AJ1360" t="n">
        <v>6</v>
      </c>
      <c r="AK1360" t="n">
        <v>12</v>
      </c>
      <c r="AL1360" t="n">
        <v>0</v>
      </c>
      <c r="AM1360" t="n">
        <v>3</v>
      </c>
      <c r="AN1360" t="n">
        <v>0</v>
      </c>
      <c r="AO1360" t="n">
        <v>2</v>
      </c>
      <c r="AP1360" t="inlineStr">
        <is>
          <t>No</t>
        </is>
      </c>
      <c r="AQ1360" t="inlineStr">
        <is>
          <t>Yes</t>
        </is>
      </c>
      <c r="AR1360">
        <f>HYPERLINK("http://catalog.hathitrust.org/Record/000032679","HathiTrust Record")</f>
        <v/>
      </c>
      <c r="AS1360">
        <f>HYPERLINK("https://creighton-primo.hosted.exlibrisgroup.com/primo-explore/search?tab=default_tab&amp;search_scope=EVERYTHING&amp;vid=01CRU&amp;lang=en_US&amp;offset=0&amp;query=any,contains,991001483239702656","Catalog Record")</f>
        <v/>
      </c>
      <c r="AT1360">
        <f>HYPERLINK("http://www.worldcat.org/oclc/7472919","WorldCat Record")</f>
        <v/>
      </c>
    </row>
    <row r="1361">
      <c r="A1361" t="inlineStr">
        <is>
          <t>No</t>
        </is>
      </c>
      <c r="B1361" t="inlineStr">
        <is>
          <t>BF 683 H221c 1983</t>
        </is>
      </c>
      <c r="C1361" t="inlineStr">
        <is>
          <t>0                      BF 0683000H  221c        1983</t>
        </is>
      </c>
      <c r="D1361" t="inlineStr">
        <is>
          <t>The cognitive structures and processes of human motivation and personality / Vernon Hamilton.</t>
        </is>
      </c>
      <c r="F1361" t="inlineStr">
        <is>
          <t>No</t>
        </is>
      </c>
      <c r="G1361" t="inlineStr">
        <is>
          <t>1</t>
        </is>
      </c>
      <c r="H1361" t="inlineStr">
        <is>
          <t>Yes</t>
        </is>
      </c>
      <c r="I1361" t="inlineStr">
        <is>
          <t>No</t>
        </is>
      </c>
      <c r="J1361" t="inlineStr">
        <is>
          <t>0</t>
        </is>
      </c>
      <c r="K1361" t="inlineStr">
        <is>
          <t>Hamilton, Vernon.</t>
        </is>
      </c>
      <c r="L1361" t="inlineStr">
        <is>
          <t>Chichester ; New York : Wiley, c1983.</t>
        </is>
      </c>
      <c r="M1361" t="inlineStr">
        <is>
          <t>1983</t>
        </is>
      </c>
      <c r="O1361" t="inlineStr">
        <is>
          <t>eng</t>
        </is>
      </c>
      <c r="P1361" t="inlineStr">
        <is>
          <t>enk</t>
        </is>
      </c>
      <c r="R1361" t="inlineStr">
        <is>
          <t xml:space="preserve">BF </t>
        </is>
      </c>
      <c r="S1361" t="n">
        <v>5</v>
      </c>
      <c r="T1361" t="n">
        <v>5</v>
      </c>
      <c r="U1361" t="inlineStr">
        <is>
          <t>1997-12-05</t>
        </is>
      </c>
      <c r="V1361" t="inlineStr">
        <is>
          <t>1997-12-05</t>
        </is>
      </c>
      <c r="W1361" t="inlineStr">
        <is>
          <t>1987-08-28</t>
        </is>
      </c>
      <c r="X1361" t="inlineStr">
        <is>
          <t>1987-08-28</t>
        </is>
      </c>
      <c r="Y1361" t="n">
        <v>419</v>
      </c>
      <c r="Z1361" t="n">
        <v>290</v>
      </c>
      <c r="AA1361" t="n">
        <v>297</v>
      </c>
      <c r="AB1361" t="n">
        <v>3</v>
      </c>
      <c r="AC1361" t="n">
        <v>3</v>
      </c>
      <c r="AD1361" t="n">
        <v>11</v>
      </c>
      <c r="AE1361" t="n">
        <v>11</v>
      </c>
      <c r="AF1361" t="n">
        <v>3</v>
      </c>
      <c r="AG1361" t="n">
        <v>3</v>
      </c>
      <c r="AH1361" t="n">
        <v>4</v>
      </c>
      <c r="AI1361" t="n">
        <v>4</v>
      </c>
      <c r="AJ1361" t="n">
        <v>7</v>
      </c>
      <c r="AK1361" t="n">
        <v>7</v>
      </c>
      <c r="AL1361" t="n">
        <v>1</v>
      </c>
      <c r="AM1361" t="n">
        <v>1</v>
      </c>
      <c r="AN1361" t="n">
        <v>0</v>
      </c>
      <c r="AO1361" t="n">
        <v>0</v>
      </c>
      <c r="AP1361" t="inlineStr">
        <is>
          <t>No</t>
        </is>
      </c>
      <c r="AQ1361" t="inlineStr">
        <is>
          <t>Yes</t>
        </is>
      </c>
      <c r="AR1361">
        <f>HYPERLINK("http://catalog.hathitrust.org/Record/000275363","HathiTrust Record")</f>
        <v/>
      </c>
      <c r="AS1361">
        <f>HYPERLINK("https://creighton-primo.hosted.exlibrisgroup.com/primo-explore/search?tab=default_tab&amp;search_scope=EVERYTHING&amp;vid=01CRU&amp;lang=en_US&amp;offset=0&amp;query=any,contains,991000789049702656","Catalog Record")</f>
        <v/>
      </c>
      <c r="AT1361">
        <f>HYPERLINK("http://www.worldcat.org/oclc/8727871","WorldCat Record")</f>
        <v/>
      </c>
    </row>
    <row r="1362">
      <c r="A1362" t="inlineStr">
        <is>
          <t>No</t>
        </is>
      </c>
      <c r="B1362" t="inlineStr">
        <is>
          <t>BF 698 M397m</t>
        </is>
      </c>
      <c r="C1362" t="inlineStr">
        <is>
          <t>0                      BF 0698000M  397m</t>
        </is>
      </c>
      <c r="D1362" t="inlineStr">
        <is>
          <t>Motivation and personality.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Yes</t>
        </is>
      </c>
      <c r="J1362" t="inlineStr">
        <is>
          <t>0</t>
        </is>
      </c>
      <c r="K1362" t="inlineStr">
        <is>
          <t>Maslow, Abraham H. (Abraham Harold)</t>
        </is>
      </c>
      <c r="L1362" t="inlineStr">
        <is>
          <t>New York : Harper, c1954.</t>
        </is>
      </c>
      <c r="M1362" t="inlineStr">
        <is>
          <t>1954</t>
        </is>
      </c>
      <c r="N1362" t="inlineStr">
        <is>
          <t>[1st ed.]</t>
        </is>
      </c>
      <c r="O1362" t="inlineStr">
        <is>
          <t>eng</t>
        </is>
      </c>
      <c r="P1362" t="inlineStr">
        <is>
          <t>nyu</t>
        </is>
      </c>
      <c r="Q1362" t="inlineStr">
        <is>
          <t>Harper's psychological series</t>
        </is>
      </c>
      <c r="R1362" t="inlineStr">
        <is>
          <t xml:space="preserve">BF </t>
        </is>
      </c>
      <c r="S1362" t="n">
        <v>12</v>
      </c>
      <c r="T1362" t="n">
        <v>12</v>
      </c>
      <c r="U1362" t="inlineStr">
        <is>
          <t>1995-06-08</t>
        </is>
      </c>
      <c r="V1362" t="inlineStr">
        <is>
          <t>1995-06-08</t>
        </is>
      </c>
      <c r="W1362" t="inlineStr">
        <is>
          <t>1987-08-28</t>
        </is>
      </c>
      <c r="X1362" t="inlineStr">
        <is>
          <t>1987-08-28</t>
        </is>
      </c>
      <c r="Y1362" t="n">
        <v>1042</v>
      </c>
      <c r="Z1362" t="n">
        <v>860</v>
      </c>
      <c r="AA1362" t="n">
        <v>2226</v>
      </c>
      <c r="AB1362" t="n">
        <v>6</v>
      </c>
      <c r="AC1362" t="n">
        <v>19</v>
      </c>
      <c r="AD1362" t="n">
        <v>27</v>
      </c>
      <c r="AE1362" t="n">
        <v>62</v>
      </c>
      <c r="AF1362" t="n">
        <v>9</v>
      </c>
      <c r="AG1362" t="n">
        <v>28</v>
      </c>
      <c r="AH1362" t="n">
        <v>4</v>
      </c>
      <c r="AI1362" t="n">
        <v>10</v>
      </c>
      <c r="AJ1362" t="n">
        <v>12</v>
      </c>
      <c r="AK1362" t="n">
        <v>24</v>
      </c>
      <c r="AL1362" t="n">
        <v>5</v>
      </c>
      <c r="AM1362" t="n">
        <v>12</v>
      </c>
      <c r="AN1362" t="n">
        <v>0</v>
      </c>
      <c r="AO1362" t="n">
        <v>0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HYPERLINK("http://catalog.hathitrust.org/Record/000161270","HathiTrust Record")</f>
        <v/>
      </c>
      <c r="AS1362">
        <f>HYPERLINK("https://creighton-primo.hosted.exlibrisgroup.com/primo-explore/search?tab=default_tab&amp;search_scope=EVERYTHING&amp;vid=01CRU&amp;lang=en_US&amp;offset=0&amp;query=any,contains,991000789299702656","Catalog Record")</f>
        <v/>
      </c>
      <c r="AT1362">
        <f>HYPERLINK("http://www.worldcat.org/oclc/170747","WorldCat Record")</f>
        <v/>
      </c>
    </row>
    <row r="1363">
      <c r="A1363" t="inlineStr">
        <is>
          <t>No</t>
        </is>
      </c>
      <c r="B1363" t="inlineStr">
        <is>
          <t>BF 713 H918 1985-86</t>
        </is>
      </c>
      <c r="C1363" t="inlineStr">
        <is>
          <t>0                      BF 0713000H  918         1985                                        -86</t>
        </is>
      </c>
      <c r="D1363" t="inlineStr">
        <is>
          <t>Human development 85/86 / Hiram E. Fitzgerald, editor ; Thomas H. Carr, editor.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L1363" t="inlineStr">
        <is>
          <t>Guilford, Conn. : Dushkin Publishing Group, c1985.</t>
        </is>
      </c>
      <c r="M1363" t="inlineStr">
        <is>
          <t>1985</t>
        </is>
      </c>
      <c r="N1363" t="inlineStr">
        <is>
          <t>13th ed.</t>
        </is>
      </c>
      <c r="O1363" t="inlineStr">
        <is>
          <t>eng</t>
        </is>
      </c>
      <c r="P1363" t="inlineStr">
        <is>
          <t>ctu</t>
        </is>
      </c>
      <c r="Q1363" t="inlineStr">
        <is>
          <t>Annual editions series</t>
        </is>
      </c>
      <c r="R1363" t="inlineStr">
        <is>
          <t xml:space="preserve">BF </t>
        </is>
      </c>
      <c r="S1363" t="n">
        <v>1</v>
      </c>
      <c r="T1363" t="n">
        <v>1</v>
      </c>
      <c r="U1363" t="inlineStr">
        <is>
          <t>1997-12-01</t>
        </is>
      </c>
      <c r="V1363" t="inlineStr">
        <is>
          <t>1997-12-01</t>
        </is>
      </c>
      <c r="W1363" t="inlineStr">
        <is>
          <t>1987-08-14</t>
        </is>
      </c>
      <c r="X1363" t="inlineStr">
        <is>
          <t>1987-08-14</t>
        </is>
      </c>
      <c r="Y1363" t="n">
        <v>21</v>
      </c>
      <c r="Z1363" t="n">
        <v>20</v>
      </c>
      <c r="AA1363" t="n">
        <v>20</v>
      </c>
      <c r="AB1363" t="n">
        <v>2</v>
      </c>
      <c r="AC1363" t="n">
        <v>2</v>
      </c>
      <c r="AD1363" t="n">
        <v>0</v>
      </c>
      <c r="AE1363" t="n">
        <v>0</v>
      </c>
      <c r="AF1363" t="n">
        <v>0</v>
      </c>
      <c r="AG1363" t="n">
        <v>0</v>
      </c>
      <c r="AH1363" t="n">
        <v>0</v>
      </c>
      <c r="AI1363" t="n">
        <v>0</v>
      </c>
      <c r="AJ1363" t="n">
        <v>0</v>
      </c>
      <c r="AK1363" t="n">
        <v>0</v>
      </c>
      <c r="AL1363" t="n">
        <v>0</v>
      </c>
      <c r="AM1363" t="n">
        <v>0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No</t>
        </is>
      </c>
      <c r="AS1363">
        <f>HYPERLINK("https://creighton-primo.hosted.exlibrisgroup.com/primo-explore/search?tab=default_tab&amp;search_scope=EVERYTHING&amp;vid=01CRU&amp;lang=en_US&amp;offset=0&amp;query=any,contains,991000695779702656","Catalog Record")</f>
        <v/>
      </c>
      <c r="AT1363">
        <f>HYPERLINK("http://www.worldcat.org/oclc/12568438","WorldCat Record")</f>
        <v/>
      </c>
    </row>
    <row r="1364">
      <c r="A1364" t="inlineStr">
        <is>
          <t>No</t>
        </is>
      </c>
      <c r="B1364" t="inlineStr">
        <is>
          <t>BF 713 K18e 1982</t>
        </is>
      </c>
      <c r="C1364" t="inlineStr">
        <is>
          <t>0                      BF 0713000K  18e         1982</t>
        </is>
      </c>
      <c r="D1364" t="inlineStr">
        <is>
          <t>Experiencing the life cycle : a social psychology of aging / by David A. Karp and William C. Yoels.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Karp, David A.</t>
        </is>
      </c>
      <c r="L1364" t="inlineStr">
        <is>
          <t>Springfield, Ill. : Thomas, c1982.</t>
        </is>
      </c>
      <c r="M1364" t="inlineStr">
        <is>
          <t>1982</t>
        </is>
      </c>
      <c r="O1364" t="inlineStr">
        <is>
          <t>eng</t>
        </is>
      </c>
      <c r="P1364" t="inlineStr">
        <is>
          <t>xxu</t>
        </is>
      </c>
      <c r="R1364" t="inlineStr">
        <is>
          <t xml:space="preserve">BF </t>
        </is>
      </c>
      <c r="S1364" t="n">
        <v>6</v>
      </c>
      <c r="T1364" t="n">
        <v>6</v>
      </c>
      <c r="U1364" t="inlineStr">
        <is>
          <t>1997-03-15</t>
        </is>
      </c>
      <c r="V1364" t="inlineStr">
        <is>
          <t>1997-03-15</t>
        </is>
      </c>
      <c r="W1364" t="inlineStr">
        <is>
          <t>1987-08-28</t>
        </is>
      </c>
      <c r="X1364" t="inlineStr">
        <is>
          <t>1987-08-28</t>
        </is>
      </c>
      <c r="Y1364" t="n">
        <v>445</v>
      </c>
      <c r="Z1364" t="n">
        <v>393</v>
      </c>
      <c r="AA1364" t="n">
        <v>395</v>
      </c>
      <c r="AB1364" t="n">
        <v>4</v>
      </c>
      <c r="AC1364" t="n">
        <v>4</v>
      </c>
      <c r="AD1364" t="n">
        <v>17</v>
      </c>
      <c r="AE1364" t="n">
        <v>17</v>
      </c>
      <c r="AF1364" t="n">
        <v>6</v>
      </c>
      <c r="AG1364" t="n">
        <v>6</v>
      </c>
      <c r="AH1364" t="n">
        <v>3</v>
      </c>
      <c r="AI1364" t="n">
        <v>3</v>
      </c>
      <c r="AJ1364" t="n">
        <v>8</v>
      </c>
      <c r="AK1364" t="n">
        <v>8</v>
      </c>
      <c r="AL1364" t="n">
        <v>3</v>
      </c>
      <c r="AM1364" t="n">
        <v>3</v>
      </c>
      <c r="AN1364" t="n">
        <v>0</v>
      </c>
      <c r="AO1364" t="n">
        <v>0</v>
      </c>
      <c r="AP1364" t="inlineStr">
        <is>
          <t>No</t>
        </is>
      </c>
      <c r="AQ1364" t="inlineStr">
        <is>
          <t>Yes</t>
        </is>
      </c>
      <c r="AR1364">
        <f>HYPERLINK("http://catalog.hathitrust.org/Record/000187382","HathiTrust Record")</f>
        <v/>
      </c>
      <c r="AS1364">
        <f>HYPERLINK("https://creighton-primo.hosted.exlibrisgroup.com/primo-explore/search?tab=default_tab&amp;search_scope=EVERYTHING&amp;vid=01CRU&amp;lang=en_US&amp;offset=0&amp;query=any,contains,991000790389702656","Catalog Record")</f>
        <v/>
      </c>
      <c r="AT1364">
        <f>HYPERLINK("http://www.worldcat.org/oclc/8345177","WorldCat Record")</f>
        <v/>
      </c>
    </row>
    <row r="1365">
      <c r="A1365" t="inlineStr">
        <is>
          <t>No</t>
        </is>
      </c>
      <c r="B1365" t="inlineStr">
        <is>
          <t>BF 713 P213h 1998</t>
        </is>
      </c>
      <c r="C1365" t="inlineStr">
        <is>
          <t>0                      BF 0713000P  213h        1998</t>
        </is>
      </c>
      <c r="D1365" t="inlineStr">
        <is>
          <t>Human development / Diane E. Papalia, Sally Wendkos Olds, Ruth Duskin Feldman.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Yes</t>
        </is>
      </c>
      <c r="J1365" t="inlineStr">
        <is>
          <t>0</t>
        </is>
      </c>
      <c r="K1365" t="inlineStr">
        <is>
          <t>Papalia, Diane E.</t>
        </is>
      </c>
      <c r="L1365" t="inlineStr">
        <is>
          <t>New York : McGraw-Hill, c1998.</t>
        </is>
      </c>
      <c r="M1365" t="inlineStr">
        <is>
          <t>1998</t>
        </is>
      </c>
      <c r="N1365" t="inlineStr">
        <is>
          <t>7th ed.</t>
        </is>
      </c>
      <c r="O1365" t="inlineStr">
        <is>
          <t>eng</t>
        </is>
      </c>
      <c r="P1365" t="inlineStr">
        <is>
          <t>nyu</t>
        </is>
      </c>
      <c r="R1365" t="inlineStr">
        <is>
          <t xml:space="preserve">BF </t>
        </is>
      </c>
      <c r="S1365" t="n">
        <v>20</v>
      </c>
      <c r="T1365" t="n">
        <v>20</v>
      </c>
      <c r="U1365" t="inlineStr">
        <is>
          <t>2003-02-02</t>
        </is>
      </c>
      <c r="V1365" t="inlineStr">
        <is>
          <t>2003-02-02</t>
        </is>
      </c>
      <c r="W1365" t="inlineStr">
        <is>
          <t>1997-08-29</t>
        </is>
      </c>
      <c r="X1365" t="inlineStr">
        <is>
          <t>1997-08-29</t>
        </is>
      </c>
      <c r="Y1365" t="n">
        <v>179</v>
      </c>
      <c r="Z1365" t="n">
        <v>103</v>
      </c>
      <c r="AA1365" t="n">
        <v>911</v>
      </c>
      <c r="AB1365" t="n">
        <v>3</v>
      </c>
      <c r="AC1365" t="n">
        <v>9</v>
      </c>
      <c r="AD1365" t="n">
        <v>5</v>
      </c>
      <c r="AE1365" t="n">
        <v>29</v>
      </c>
      <c r="AF1365" t="n">
        <v>1</v>
      </c>
      <c r="AG1365" t="n">
        <v>12</v>
      </c>
      <c r="AH1365" t="n">
        <v>1</v>
      </c>
      <c r="AI1365" t="n">
        <v>4</v>
      </c>
      <c r="AJ1365" t="n">
        <v>2</v>
      </c>
      <c r="AK1365" t="n">
        <v>14</v>
      </c>
      <c r="AL1365" t="n">
        <v>1</v>
      </c>
      <c r="AM1365" t="n">
        <v>6</v>
      </c>
      <c r="AN1365" t="n">
        <v>0</v>
      </c>
      <c r="AO1365" t="n">
        <v>0</v>
      </c>
      <c r="AP1365" t="inlineStr">
        <is>
          <t>No</t>
        </is>
      </c>
      <c r="AQ1365" t="inlineStr">
        <is>
          <t>No</t>
        </is>
      </c>
      <c r="AS1365">
        <f>HYPERLINK("https://creighton-primo.hosted.exlibrisgroup.com/primo-explore/search?tab=default_tab&amp;search_scope=EVERYTHING&amp;vid=01CRU&amp;lang=en_US&amp;offset=0&amp;query=any,contains,991001271669702656","Catalog Record")</f>
        <v/>
      </c>
      <c r="AT1365">
        <f>HYPERLINK("http://www.worldcat.org/oclc/29954951","WorldCat Record")</f>
        <v/>
      </c>
    </row>
    <row r="1366">
      <c r="A1366" t="inlineStr">
        <is>
          <t>No</t>
        </is>
      </c>
      <c r="B1366" t="inlineStr">
        <is>
          <t>BF 723.C8 C975 1986</t>
        </is>
      </c>
      <c r="C1366" t="inlineStr">
        <is>
          <t>0                      BF 0723000C  8                  C  975         1986</t>
        </is>
      </c>
      <c r="D1366" t="inlineStr">
        <is>
          <t>Curiosity, imagination, and play : on the development of spontaneous cognitive and motivational processes / [edited by] Dietmar Görlitz, Joachim F. Wohlwill.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L1366" t="inlineStr">
        <is>
          <t>Hillsdale, NJ : L. Erlbaum Associates, c1986.</t>
        </is>
      </c>
      <c r="M1366" t="inlineStr">
        <is>
          <t>1986</t>
        </is>
      </c>
      <c r="O1366" t="inlineStr">
        <is>
          <t>eng</t>
        </is>
      </c>
      <c r="P1366" t="inlineStr">
        <is>
          <t>nju</t>
        </is>
      </c>
      <c r="R1366" t="inlineStr">
        <is>
          <t xml:space="preserve">BF </t>
        </is>
      </c>
      <c r="S1366" t="n">
        <v>2</v>
      </c>
      <c r="T1366" t="n">
        <v>2</v>
      </c>
      <c r="U1366" t="inlineStr">
        <is>
          <t>2009-02-20</t>
        </is>
      </c>
      <c r="V1366" t="inlineStr">
        <is>
          <t>2009-02-20</t>
        </is>
      </c>
      <c r="W1366" t="inlineStr">
        <is>
          <t>1987-08-28</t>
        </is>
      </c>
      <c r="X1366" t="inlineStr">
        <is>
          <t>1987-08-28</t>
        </is>
      </c>
      <c r="Y1366" t="n">
        <v>448</v>
      </c>
      <c r="Z1366" t="n">
        <v>345</v>
      </c>
      <c r="AA1366" t="n">
        <v>354</v>
      </c>
      <c r="AB1366" t="n">
        <v>3</v>
      </c>
      <c r="AC1366" t="n">
        <v>3</v>
      </c>
      <c r="AD1366" t="n">
        <v>13</v>
      </c>
      <c r="AE1366" t="n">
        <v>13</v>
      </c>
      <c r="AF1366" t="n">
        <v>3</v>
      </c>
      <c r="AG1366" t="n">
        <v>3</v>
      </c>
      <c r="AH1366" t="n">
        <v>6</v>
      </c>
      <c r="AI1366" t="n">
        <v>6</v>
      </c>
      <c r="AJ1366" t="n">
        <v>5</v>
      </c>
      <c r="AK1366" t="n">
        <v>5</v>
      </c>
      <c r="AL1366" t="n">
        <v>2</v>
      </c>
      <c r="AM1366" t="n">
        <v>2</v>
      </c>
      <c r="AN1366" t="n">
        <v>0</v>
      </c>
      <c r="AO1366" t="n">
        <v>0</v>
      </c>
      <c r="AP1366" t="inlineStr">
        <is>
          <t>No</t>
        </is>
      </c>
      <c r="AQ1366" t="inlineStr">
        <is>
          <t>No</t>
        </is>
      </c>
      <c r="AS1366">
        <f>HYPERLINK("https://creighton-primo.hosted.exlibrisgroup.com/primo-explore/search?tab=default_tab&amp;search_scope=EVERYTHING&amp;vid=01CRU&amp;lang=en_US&amp;offset=0&amp;query=any,contains,991001489749702656","Catalog Record")</f>
        <v/>
      </c>
      <c r="AT1366">
        <f>HYPERLINK("http://www.worldcat.org/oclc/13360624","WorldCat Record")</f>
        <v/>
      </c>
    </row>
    <row r="1367">
      <c r="A1367" t="inlineStr">
        <is>
          <t>No</t>
        </is>
      </c>
      <c r="B1367" t="inlineStr">
        <is>
          <t>BF 723.P25 P228 1985</t>
        </is>
      </c>
      <c r="C1367" t="inlineStr">
        <is>
          <t>0                      BF 0723000P  25                 P  228         1985</t>
        </is>
      </c>
      <c r="D1367" t="inlineStr">
        <is>
          <t>Parental belief systems : the psychological consequences for children / edited by Irving E. Sigel.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Yes</t>
        </is>
      </c>
      <c r="J1367" t="inlineStr">
        <is>
          <t>0</t>
        </is>
      </c>
      <c r="L1367" t="inlineStr">
        <is>
          <t>Hillsdale, N.J. : L. Erlbaum Associates, c1985.</t>
        </is>
      </c>
      <c r="M1367" t="inlineStr">
        <is>
          <t>1985</t>
        </is>
      </c>
      <c r="O1367" t="inlineStr">
        <is>
          <t>eng</t>
        </is>
      </c>
      <c r="P1367" t="inlineStr">
        <is>
          <t>nju</t>
        </is>
      </c>
      <c r="R1367" t="inlineStr">
        <is>
          <t xml:space="preserve">BF </t>
        </is>
      </c>
      <c r="S1367" t="n">
        <v>3</v>
      </c>
      <c r="T1367" t="n">
        <v>3</v>
      </c>
      <c r="U1367" t="inlineStr">
        <is>
          <t>1994-10-04</t>
        </is>
      </c>
      <c r="V1367" t="inlineStr">
        <is>
          <t>1994-10-04</t>
        </is>
      </c>
      <c r="W1367" t="inlineStr">
        <is>
          <t>1987-08-28</t>
        </is>
      </c>
      <c r="X1367" t="inlineStr">
        <is>
          <t>1987-08-28</t>
        </is>
      </c>
      <c r="Y1367" t="n">
        <v>475</v>
      </c>
      <c r="Z1367" t="n">
        <v>412</v>
      </c>
      <c r="AA1367" t="n">
        <v>577</v>
      </c>
      <c r="AB1367" t="n">
        <v>5</v>
      </c>
      <c r="AC1367" t="n">
        <v>6</v>
      </c>
      <c r="AD1367" t="n">
        <v>15</v>
      </c>
      <c r="AE1367" t="n">
        <v>25</v>
      </c>
      <c r="AF1367" t="n">
        <v>3</v>
      </c>
      <c r="AG1367" t="n">
        <v>8</v>
      </c>
      <c r="AH1367" t="n">
        <v>4</v>
      </c>
      <c r="AI1367" t="n">
        <v>6</v>
      </c>
      <c r="AJ1367" t="n">
        <v>8</v>
      </c>
      <c r="AK1367" t="n">
        <v>15</v>
      </c>
      <c r="AL1367" t="n">
        <v>4</v>
      </c>
      <c r="AM1367" t="n">
        <v>4</v>
      </c>
      <c r="AN1367" t="n">
        <v>0</v>
      </c>
      <c r="AO1367" t="n">
        <v>0</v>
      </c>
      <c r="AP1367" t="inlineStr">
        <is>
          <t>No</t>
        </is>
      </c>
      <c r="AQ1367" t="inlineStr">
        <is>
          <t>Yes</t>
        </is>
      </c>
      <c r="AR1367">
        <f>HYPERLINK("http://catalog.hathitrust.org/Record/000563113","HathiTrust Record")</f>
        <v/>
      </c>
      <c r="AS1367">
        <f>HYPERLINK("https://creighton-primo.hosted.exlibrisgroup.com/primo-explore/search?tab=default_tab&amp;search_scope=EVERYTHING&amp;vid=01CRU&amp;lang=en_US&amp;offset=0&amp;query=any,contains,991000790219702656","Catalog Record")</f>
        <v/>
      </c>
      <c r="AT1367">
        <f>HYPERLINK("http://www.worldcat.org/oclc/11090649","WorldCat Record")</f>
        <v/>
      </c>
    </row>
    <row r="1368">
      <c r="A1368" t="inlineStr">
        <is>
          <t>No</t>
        </is>
      </c>
      <c r="B1368" t="inlineStr">
        <is>
          <t>BF 723.S3 C788a 1981</t>
        </is>
      </c>
      <c r="C1368" t="inlineStr">
        <is>
          <t>0                      BF 0723000S  3                  C  788a        1981</t>
        </is>
      </c>
      <c r="D1368" t="inlineStr">
        <is>
          <t>The antecedents of self-esteem / Stanley Coopersmith.</t>
        </is>
      </c>
      <c r="F1368" t="inlineStr">
        <is>
          <t>No</t>
        </is>
      </c>
      <c r="G1368" t="inlineStr">
        <is>
          <t>1</t>
        </is>
      </c>
      <c r="H1368" t="inlineStr">
        <is>
          <t>No</t>
        </is>
      </c>
      <c r="I1368" t="inlineStr">
        <is>
          <t>Yes</t>
        </is>
      </c>
      <c r="J1368" t="inlineStr">
        <is>
          <t>0</t>
        </is>
      </c>
      <c r="K1368" t="inlineStr">
        <is>
          <t>Coopersmith, Stanley, 1926-</t>
        </is>
      </c>
      <c r="L1368" t="inlineStr">
        <is>
          <t>Palo Alto, CA : Consulting Psychologists Press, c1981.</t>
        </is>
      </c>
      <c r="M1368" t="inlineStr">
        <is>
          <t>1981</t>
        </is>
      </c>
      <c r="N1368" t="inlineStr">
        <is>
          <t>Reprint ed.</t>
        </is>
      </c>
      <c r="O1368" t="inlineStr">
        <is>
          <t>eng</t>
        </is>
      </c>
      <c r="P1368" t="inlineStr">
        <is>
          <t>cau</t>
        </is>
      </c>
      <c r="R1368" t="inlineStr">
        <is>
          <t xml:space="preserve">BF </t>
        </is>
      </c>
      <c r="S1368" t="n">
        <v>17</v>
      </c>
      <c r="T1368" t="n">
        <v>17</v>
      </c>
      <c r="U1368" t="inlineStr">
        <is>
          <t>2002-11-09</t>
        </is>
      </c>
      <c r="V1368" t="inlineStr">
        <is>
          <t>2002-11-09</t>
        </is>
      </c>
      <c r="W1368" t="inlineStr">
        <is>
          <t>1990-11-28</t>
        </is>
      </c>
      <c r="X1368" t="inlineStr">
        <is>
          <t>1990-11-28</t>
        </is>
      </c>
      <c r="Y1368" t="n">
        <v>116</v>
      </c>
      <c r="Z1368" t="n">
        <v>100</v>
      </c>
      <c r="AA1368" t="n">
        <v>1117</v>
      </c>
      <c r="AB1368" t="n">
        <v>2</v>
      </c>
      <c r="AC1368" t="n">
        <v>11</v>
      </c>
      <c r="AD1368" t="n">
        <v>6</v>
      </c>
      <c r="AE1368" t="n">
        <v>50</v>
      </c>
      <c r="AF1368" t="n">
        <v>4</v>
      </c>
      <c r="AG1368" t="n">
        <v>22</v>
      </c>
      <c r="AH1368" t="n">
        <v>1</v>
      </c>
      <c r="AI1368" t="n">
        <v>8</v>
      </c>
      <c r="AJ1368" t="n">
        <v>2</v>
      </c>
      <c r="AK1368" t="n">
        <v>23</v>
      </c>
      <c r="AL1368" t="n">
        <v>1</v>
      </c>
      <c r="AM1368" t="n">
        <v>8</v>
      </c>
      <c r="AN1368" t="n">
        <v>0</v>
      </c>
      <c r="AO1368" t="n">
        <v>1</v>
      </c>
      <c r="AP1368" t="inlineStr">
        <is>
          <t>No</t>
        </is>
      </c>
      <c r="AQ1368" t="inlineStr">
        <is>
          <t>Yes</t>
        </is>
      </c>
      <c r="AR1368">
        <f>HYPERLINK("http://catalog.hathitrust.org/Record/000566178","HathiTrust Record")</f>
        <v/>
      </c>
      <c r="AS1368">
        <f>HYPERLINK("https://creighton-primo.hosted.exlibrisgroup.com/primo-explore/search?tab=default_tab&amp;search_scope=EVERYTHING&amp;vid=01CRU&amp;lang=en_US&amp;offset=0&amp;query=any,contains,991000762619702656","Catalog Record")</f>
        <v/>
      </c>
      <c r="AT1368">
        <f>HYPERLINK("http://www.worldcat.org/oclc/9180312","WorldCat Record")</f>
        <v/>
      </c>
    </row>
    <row r="1369">
      <c r="A1369" t="inlineStr">
        <is>
          <t>No</t>
        </is>
      </c>
      <c r="B1369" t="inlineStr">
        <is>
          <t>BF 724 B615 1987</t>
        </is>
      </c>
      <c r="C1369" t="inlineStr">
        <is>
          <t>0                      BF 0724000B  615         1987</t>
        </is>
      </c>
      <c r="D1369" t="inlineStr">
        <is>
          <t>Biological-psychosocial interactions in early adolescence / edited by Richard M. Lerner, Terryl T. Foch.</t>
        </is>
      </c>
      <c r="F1369" t="inlineStr">
        <is>
          <t>No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L1369" t="inlineStr">
        <is>
          <t>Hillsdale, N.J. : L. Erlbaum Associates, c1987..</t>
        </is>
      </c>
      <c r="M1369" t="inlineStr">
        <is>
          <t>1987</t>
        </is>
      </c>
      <c r="O1369" t="inlineStr">
        <is>
          <t>eng</t>
        </is>
      </c>
      <c r="P1369" t="inlineStr">
        <is>
          <t>nju</t>
        </is>
      </c>
      <c r="Q1369" t="inlineStr">
        <is>
          <t>Child psychology</t>
        </is>
      </c>
      <c r="R1369" t="inlineStr">
        <is>
          <t xml:space="preserve">BF </t>
        </is>
      </c>
      <c r="S1369" t="n">
        <v>10</v>
      </c>
      <c r="T1369" t="n">
        <v>10</v>
      </c>
      <c r="U1369" t="inlineStr">
        <is>
          <t>2003-02-02</t>
        </is>
      </c>
      <c r="V1369" t="inlineStr">
        <is>
          <t>2003-02-02</t>
        </is>
      </c>
      <c r="W1369" t="inlineStr">
        <is>
          <t>1987-08-28</t>
        </is>
      </c>
      <c r="X1369" t="inlineStr">
        <is>
          <t>1987-08-28</t>
        </is>
      </c>
      <c r="Y1369" t="n">
        <v>330</v>
      </c>
      <c r="Z1369" t="n">
        <v>278</v>
      </c>
      <c r="AA1369" t="n">
        <v>281</v>
      </c>
      <c r="AB1369" t="n">
        <v>3</v>
      </c>
      <c r="AC1369" t="n">
        <v>3</v>
      </c>
      <c r="AD1369" t="n">
        <v>14</v>
      </c>
      <c r="AE1369" t="n">
        <v>14</v>
      </c>
      <c r="AF1369" t="n">
        <v>4</v>
      </c>
      <c r="AG1369" t="n">
        <v>4</v>
      </c>
      <c r="AH1369" t="n">
        <v>3</v>
      </c>
      <c r="AI1369" t="n">
        <v>3</v>
      </c>
      <c r="AJ1369" t="n">
        <v>9</v>
      </c>
      <c r="AK1369" t="n">
        <v>9</v>
      </c>
      <c r="AL1369" t="n">
        <v>2</v>
      </c>
      <c r="AM1369" t="n">
        <v>2</v>
      </c>
      <c r="AN1369" t="n">
        <v>0</v>
      </c>
      <c r="AO1369" t="n">
        <v>0</v>
      </c>
      <c r="AP1369" t="inlineStr">
        <is>
          <t>No</t>
        </is>
      </c>
      <c r="AQ1369" t="inlineStr">
        <is>
          <t>Yes</t>
        </is>
      </c>
      <c r="AR1369">
        <f>HYPERLINK("http://catalog.hathitrust.org/Record/000490937","HathiTrust Record")</f>
        <v/>
      </c>
      <c r="AS1369">
        <f>HYPERLINK("https://creighton-primo.hosted.exlibrisgroup.com/primo-explore/search?tab=default_tab&amp;search_scope=EVERYTHING&amp;vid=01CRU&amp;lang=en_US&amp;offset=0&amp;query=any,contains,991000790199702656","Catalog Record")</f>
        <v/>
      </c>
      <c r="AT1369">
        <f>HYPERLINK("http://www.worldcat.org/oclc/14099048","WorldCat Record")</f>
        <v/>
      </c>
    </row>
    <row r="1370">
      <c r="A1370" t="inlineStr">
        <is>
          <t>No</t>
        </is>
      </c>
      <c r="B1370" t="inlineStr">
        <is>
          <t>BF 724.5 L855 1983</t>
        </is>
      </c>
      <c r="C1370" t="inlineStr">
        <is>
          <t>0                      BF 0724500L  855         1983</t>
        </is>
      </c>
      <c r="D1370" t="inlineStr">
        <is>
          <t>Longitudinal studies of adult psychological development / edited by K. Warner Schaie.</t>
        </is>
      </c>
      <c r="F1370" t="inlineStr">
        <is>
          <t>No</t>
        </is>
      </c>
      <c r="G1370" t="inlineStr">
        <is>
          <t>1</t>
        </is>
      </c>
      <c r="H1370" t="inlineStr">
        <is>
          <t>Yes</t>
        </is>
      </c>
      <c r="I1370" t="inlineStr">
        <is>
          <t>No</t>
        </is>
      </c>
      <c r="J1370" t="inlineStr">
        <is>
          <t>0</t>
        </is>
      </c>
      <c r="L1370" t="inlineStr">
        <is>
          <t>New York : Guilford Press, c1983.</t>
        </is>
      </c>
      <c r="M1370" t="inlineStr">
        <is>
          <t>1983</t>
        </is>
      </c>
      <c r="O1370" t="inlineStr">
        <is>
          <t>eng</t>
        </is>
      </c>
      <c r="P1370" t="inlineStr">
        <is>
          <t>xxu</t>
        </is>
      </c>
      <c r="Q1370" t="inlineStr">
        <is>
          <t>Adult development and aging</t>
        </is>
      </c>
      <c r="R1370" t="inlineStr">
        <is>
          <t xml:space="preserve">BF </t>
        </is>
      </c>
      <c r="S1370" t="n">
        <v>2</v>
      </c>
      <c r="T1370" t="n">
        <v>2</v>
      </c>
      <c r="U1370" t="inlineStr">
        <is>
          <t>1991-07-08</t>
        </is>
      </c>
      <c r="V1370" t="inlineStr">
        <is>
          <t>1991-07-08</t>
        </is>
      </c>
      <c r="W1370" t="inlineStr">
        <is>
          <t>1988-02-29</t>
        </is>
      </c>
      <c r="X1370" t="inlineStr">
        <is>
          <t>1988-02-29</t>
        </is>
      </c>
      <c r="Y1370" t="n">
        <v>649</v>
      </c>
      <c r="Z1370" t="n">
        <v>523</v>
      </c>
      <c r="AA1370" t="n">
        <v>524</v>
      </c>
      <c r="AB1370" t="n">
        <v>6</v>
      </c>
      <c r="AC1370" t="n">
        <v>6</v>
      </c>
      <c r="AD1370" t="n">
        <v>26</v>
      </c>
      <c r="AE1370" t="n">
        <v>26</v>
      </c>
      <c r="AF1370" t="n">
        <v>9</v>
      </c>
      <c r="AG1370" t="n">
        <v>9</v>
      </c>
      <c r="AH1370" t="n">
        <v>7</v>
      </c>
      <c r="AI1370" t="n">
        <v>7</v>
      </c>
      <c r="AJ1370" t="n">
        <v>12</v>
      </c>
      <c r="AK1370" t="n">
        <v>12</v>
      </c>
      <c r="AL1370" t="n">
        <v>4</v>
      </c>
      <c r="AM1370" t="n">
        <v>4</v>
      </c>
      <c r="AN1370" t="n">
        <v>0</v>
      </c>
      <c r="AO1370" t="n">
        <v>0</v>
      </c>
      <c r="AP1370" t="inlineStr">
        <is>
          <t>No</t>
        </is>
      </c>
      <c r="AQ1370" t="inlineStr">
        <is>
          <t>No</t>
        </is>
      </c>
      <c r="AS1370">
        <f>HYPERLINK("https://creighton-primo.hosted.exlibrisgroup.com/primo-explore/search?tab=default_tab&amp;search_scope=EVERYTHING&amp;vid=01CRU&amp;lang=en_US&amp;offset=0&amp;query=any,contains,991000790109702656","Catalog Record")</f>
        <v/>
      </c>
      <c r="AT1370">
        <f>HYPERLINK("http://www.worldcat.org/oclc/8907019","WorldCat Record")</f>
        <v/>
      </c>
    </row>
    <row r="1371">
      <c r="A1371" t="inlineStr">
        <is>
          <t>No</t>
        </is>
      </c>
      <c r="B1371" t="inlineStr">
        <is>
          <t>BF 76.5 D776d 1985</t>
        </is>
      </c>
      <c r="C1371" t="inlineStr">
        <is>
          <t>0                      BF 0076500D  776d        1985</t>
        </is>
      </c>
      <c r="D1371" t="inlineStr">
        <is>
          <t>Designing and conducting behavioral research / Clifford J. Drew, Michael L. Hardman.</t>
        </is>
      </c>
      <c r="F1371" t="inlineStr">
        <is>
          <t>No</t>
        </is>
      </c>
      <c r="G1371" t="inlineStr">
        <is>
          <t>1</t>
        </is>
      </c>
      <c r="H1371" t="inlineStr">
        <is>
          <t>No</t>
        </is>
      </c>
      <c r="I1371" t="inlineStr">
        <is>
          <t>No</t>
        </is>
      </c>
      <c r="J1371" t="inlineStr">
        <is>
          <t>0</t>
        </is>
      </c>
      <c r="K1371" t="inlineStr">
        <is>
          <t>Drew, Clifford J., 1943-</t>
        </is>
      </c>
      <c r="L1371" t="inlineStr">
        <is>
          <t>New York : Pergamon Press, c1985.</t>
        </is>
      </c>
      <c r="M1371" t="inlineStr">
        <is>
          <t>1985</t>
        </is>
      </c>
      <c r="O1371" t="inlineStr">
        <is>
          <t>eng</t>
        </is>
      </c>
      <c r="P1371" t="inlineStr">
        <is>
          <t>xxu</t>
        </is>
      </c>
      <c r="Q1371" t="inlineStr">
        <is>
          <t>Pergamon general psychology series ; 134</t>
        </is>
      </c>
      <c r="R1371" t="inlineStr">
        <is>
          <t xml:space="preserve">BF </t>
        </is>
      </c>
      <c r="S1371" t="n">
        <v>8</v>
      </c>
      <c r="T1371" t="n">
        <v>8</v>
      </c>
      <c r="U1371" t="inlineStr">
        <is>
          <t>1990-10-04</t>
        </is>
      </c>
      <c r="V1371" t="inlineStr">
        <is>
          <t>1990-10-04</t>
        </is>
      </c>
      <c r="W1371" t="inlineStr">
        <is>
          <t>1989-01-07</t>
        </is>
      </c>
      <c r="X1371" t="inlineStr">
        <is>
          <t>1989-01-07</t>
        </is>
      </c>
      <c r="Y1371" t="n">
        <v>555</v>
      </c>
      <c r="Z1371" t="n">
        <v>438</v>
      </c>
      <c r="AA1371" t="n">
        <v>448</v>
      </c>
      <c r="AB1371" t="n">
        <v>2</v>
      </c>
      <c r="AC1371" t="n">
        <v>2</v>
      </c>
      <c r="AD1371" t="n">
        <v>20</v>
      </c>
      <c r="AE1371" t="n">
        <v>21</v>
      </c>
      <c r="AF1371" t="n">
        <v>8</v>
      </c>
      <c r="AG1371" t="n">
        <v>9</v>
      </c>
      <c r="AH1371" t="n">
        <v>4</v>
      </c>
      <c r="AI1371" t="n">
        <v>4</v>
      </c>
      <c r="AJ1371" t="n">
        <v>12</v>
      </c>
      <c r="AK1371" t="n">
        <v>13</v>
      </c>
      <c r="AL1371" t="n">
        <v>1</v>
      </c>
      <c r="AM1371" t="n">
        <v>1</v>
      </c>
      <c r="AN1371" t="n">
        <v>0</v>
      </c>
      <c r="AO1371" t="n">
        <v>0</v>
      </c>
      <c r="AP1371" t="inlineStr">
        <is>
          <t>No</t>
        </is>
      </c>
      <c r="AQ1371" t="inlineStr">
        <is>
          <t>Yes</t>
        </is>
      </c>
      <c r="AR1371">
        <f>HYPERLINK("http://catalog.hathitrust.org/Record/000431624","HathiTrust Record")</f>
        <v/>
      </c>
      <c r="AS1371">
        <f>HYPERLINK("https://creighton-primo.hosted.exlibrisgroup.com/primo-explore/search?tab=default_tab&amp;search_scope=EVERYTHING&amp;vid=01CRU&amp;lang=en_US&amp;offset=0&amp;query=any,contains,991001108439702656","Catalog Record")</f>
        <v/>
      </c>
      <c r="AT1371">
        <f>HYPERLINK("http://www.worldcat.org/oclc/11384907","WorldCat Record")</f>
        <v/>
      </c>
    </row>
    <row r="1372">
      <c r="A1372" t="inlineStr">
        <is>
          <t>No</t>
        </is>
      </c>
      <c r="B1372" t="inlineStr">
        <is>
          <t>BF 789.D4 A756c 1983</t>
        </is>
      </c>
      <c r="C1372" t="inlineStr">
        <is>
          <t>0                      BF 0789000D  4                  A  756c        1983</t>
        </is>
      </c>
      <c r="D1372" t="inlineStr">
        <is>
          <t>A child dies : a portrait of family grief / Joan Hagan Arnold, Penelope Buschman Gemma.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K1372" t="inlineStr">
        <is>
          <t>Arnold, Joan Hagan.</t>
        </is>
      </c>
      <c r="L1372" t="inlineStr">
        <is>
          <t>Rockville, Md. : Aspen Systems Corp., c1983.</t>
        </is>
      </c>
      <c r="M1372" t="inlineStr">
        <is>
          <t>1983</t>
        </is>
      </c>
      <c r="O1372" t="inlineStr">
        <is>
          <t>eng</t>
        </is>
      </c>
      <c r="P1372" t="inlineStr">
        <is>
          <t>xxu</t>
        </is>
      </c>
      <c r="R1372" t="inlineStr">
        <is>
          <t xml:space="preserve">BF </t>
        </is>
      </c>
      <c r="S1372" t="n">
        <v>2</v>
      </c>
      <c r="T1372" t="n">
        <v>2</v>
      </c>
      <c r="U1372" t="inlineStr">
        <is>
          <t>1988-04-14</t>
        </is>
      </c>
      <c r="V1372" t="inlineStr">
        <is>
          <t>1988-04-14</t>
        </is>
      </c>
      <c r="W1372" t="inlineStr">
        <is>
          <t>1987-09-03</t>
        </is>
      </c>
      <c r="X1372" t="inlineStr">
        <is>
          <t>1987-09-03</t>
        </is>
      </c>
      <c r="Y1372" t="n">
        <v>577</v>
      </c>
      <c r="Z1372" t="n">
        <v>519</v>
      </c>
      <c r="AA1372" t="n">
        <v>777</v>
      </c>
      <c r="AB1372" t="n">
        <v>6</v>
      </c>
      <c r="AC1372" t="n">
        <v>7</v>
      </c>
      <c r="AD1372" t="n">
        <v>20</v>
      </c>
      <c r="AE1372" t="n">
        <v>26</v>
      </c>
      <c r="AF1372" t="n">
        <v>6</v>
      </c>
      <c r="AG1372" t="n">
        <v>8</v>
      </c>
      <c r="AH1372" t="n">
        <v>2</v>
      </c>
      <c r="AI1372" t="n">
        <v>4</v>
      </c>
      <c r="AJ1372" t="n">
        <v>10</v>
      </c>
      <c r="AK1372" t="n">
        <v>14</v>
      </c>
      <c r="AL1372" t="n">
        <v>5</v>
      </c>
      <c r="AM1372" t="n">
        <v>6</v>
      </c>
      <c r="AN1372" t="n">
        <v>0</v>
      </c>
      <c r="AO1372" t="n">
        <v>0</v>
      </c>
      <c r="AP1372" t="inlineStr">
        <is>
          <t>No</t>
        </is>
      </c>
      <c r="AQ1372" t="inlineStr">
        <is>
          <t>Yes</t>
        </is>
      </c>
      <c r="AR1372">
        <f>HYPERLINK("http://catalog.hathitrust.org/Record/000245150","HathiTrust Record")</f>
        <v/>
      </c>
      <c r="AS1372">
        <f>HYPERLINK("https://creighton-primo.hosted.exlibrisgroup.com/primo-explore/search?tab=default_tab&amp;search_scope=EVERYTHING&amp;vid=01CRU&amp;lang=en_US&amp;offset=0&amp;query=any,contains,991000789979702656","Catalog Record")</f>
        <v/>
      </c>
      <c r="AT1372">
        <f>HYPERLINK("http://www.worldcat.org/oclc/9557059","WorldCat Record")</f>
        <v/>
      </c>
    </row>
    <row r="1373">
      <c r="A1373" t="inlineStr">
        <is>
          <t>No</t>
        </is>
      </c>
      <c r="B1373" t="inlineStr">
        <is>
          <t>BF 789.D4 B126d 1982</t>
        </is>
      </c>
      <c r="C1373" t="inlineStr">
        <is>
          <t>0                      BF 0789000D  4                  B  126d        1982</t>
        </is>
      </c>
      <c r="D1373" t="inlineStr">
        <is>
          <t>Death and dying : individuals and institutions / Barbara A. Backer, Natalie Hannon, Noreen A. Russell.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K1373" t="inlineStr">
        <is>
          <t>Backer, Barbara A.</t>
        </is>
      </c>
      <c r="L1373" t="inlineStr">
        <is>
          <t>New York : Wiley, c1982.</t>
        </is>
      </c>
      <c r="M1373" t="inlineStr">
        <is>
          <t>1982</t>
        </is>
      </c>
      <c r="O1373" t="inlineStr">
        <is>
          <t>eng</t>
        </is>
      </c>
      <c r="P1373" t="inlineStr">
        <is>
          <t>nyu</t>
        </is>
      </c>
      <c r="Q1373" t="inlineStr">
        <is>
          <t>A Wiley medical publication</t>
        </is>
      </c>
      <c r="R1373" t="inlineStr">
        <is>
          <t xml:space="preserve">BF </t>
        </is>
      </c>
      <c r="S1373" t="n">
        <v>9</v>
      </c>
      <c r="T1373" t="n">
        <v>9</v>
      </c>
      <c r="U1373" t="inlineStr">
        <is>
          <t>2003-08-20</t>
        </is>
      </c>
      <c r="V1373" t="inlineStr">
        <is>
          <t>2003-08-20</t>
        </is>
      </c>
      <c r="W1373" t="inlineStr">
        <is>
          <t>1987-09-03</t>
        </is>
      </c>
      <c r="X1373" t="inlineStr">
        <is>
          <t>1987-09-03</t>
        </is>
      </c>
      <c r="Y1373" t="n">
        <v>543</v>
      </c>
      <c r="Z1373" t="n">
        <v>440</v>
      </c>
      <c r="AA1373" t="n">
        <v>459</v>
      </c>
      <c r="AB1373" t="n">
        <v>5</v>
      </c>
      <c r="AC1373" t="n">
        <v>5</v>
      </c>
      <c r="AD1373" t="n">
        <v>19</v>
      </c>
      <c r="AE1373" t="n">
        <v>20</v>
      </c>
      <c r="AF1373" t="n">
        <v>5</v>
      </c>
      <c r="AG1373" t="n">
        <v>6</v>
      </c>
      <c r="AH1373" t="n">
        <v>5</v>
      </c>
      <c r="AI1373" t="n">
        <v>5</v>
      </c>
      <c r="AJ1373" t="n">
        <v>10</v>
      </c>
      <c r="AK1373" t="n">
        <v>10</v>
      </c>
      <c r="AL1373" t="n">
        <v>3</v>
      </c>
      <c r="AM1373" t="n">
        <v>3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Yes</t>
        </is>
      </c>
      <c r="AR1373">
        <f>HYPERLINK("http://catalog.hathitrust.org/Record/000267072","HathiTrust Record")</f>
        <v/>
      </c>
      <c r="AS1373">
        <f>HYPERLINK("https://creighton-primo.hosted.exlibrisgroup.com/primo-explore/search?tab=default_tab&amp;search_scope=EVERYTHING&amp;vid=01CRU&amp;lang=en_US&amp;offset=0&amp;query=any,contains,991000790049702656","Catalog Record")</f>
        <v/>
      </c>
      <c r="AT1373">
        <f>HYPERLINK("http://www.worldcat.org/oclc/7946515","WorldCat Record")</f>
        <v/>
      </c>
    </row>
    <row r="1374">
      <c r="A1374" t="inlineStr">
        <is>
          <t>No</t>
        </is>
      </c>
      <c r="B1374" t="inlineStr">
        <is>
          <t>BF 789.D4 B395d 1973</t>
        </is>
      </c>
      <c r="C1374" t="inlineStr">
        <is>
          <t>0                      BF 0789000D  4                  B  395d        1973</t>
        </is>
      </c>
      <c r="D1374" t="inlineStr">
        <is>
          <t>The denial of death.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Yes</t>
        </is>
      </c>
      <c r="J1374" t="inlineStr">
        <is>
          <t>0</t>
        </is>
      </c>
      <c r="K1374" t="inlineStr">
        <is>
          <t>Becker, Ernest.</t>
        </is>
      </c>
      <c r="L1374" t="inlineStr">
        <is>
          <t>New York : Free Press, 1973.</t>
        </is>
      </c>
      <c r="M1374" t="inlineStr">
        <is>
          <t>1973</t>
        </is>
      </c>
      <c r="O1374" t="inlineStr">
        <is>
          <t>eng</t>
        </is>
      </c>
      <c r="P1374" t="inlineStr">
        <is>
          <t>nyu</t>
        </is>
      </c>
      <c r="R1374" t="inlineStr">
        <is>
          <t xml:space="preserve">BF </t>
        </is>
      </c>
      <c r="S1374" t="n">
        <v>2</v>
      </c>
      <c r="T1374" t="n">
        <v>2</v>
      </c>
      <c r="U1374" t="inlineStr">
        <is>
          <t>2000-12-13</t>
        </is>
      </c>
      <c r="V1374" t="inlineStr">
        <is>
          <t>2000-12-13</t>
        </is>
      </c>
      <c r="W1374" t="inlineStr">
        <is>
          <t>1987-09-03</t>
        </is>
      </c>
      <c r="X1374" t="inlineStr">
        <is>
          <t>1987-09-03</t>
        </is>
      </c>
      <c r="Y1374" t="n">
        <v>1982</v>
      </c>
      <c r="Z1374" t="n">
        <v>1714</v>
      </c>
      <c r="AA1374" t="n">
        <v>2255</v>
      </c>
      <c r="AB1374" t="n">
        <v>11</v>
      </c>
      <c r="AC1374" t="n">
        <v>13</v>
      </c>
      <c r="AD1374" t="n">
        <v>51</v>
      </c>
      <c r="AE1374" t="n">
        <v>60</v>
      </c>
      <c r="AF1374" t="n">
        <v>24</v>
      </c>
      <c r="AG1374" t="n">
        <v>28</v>
      </c>
      <c r="AH1374" t="n">
        <v>8</v>
      </c>
      <c r="AI1374" t="n">
        <v>11</v>
      </c>
      <c r="AJ1374" t="n">
        <v>22</v>
      </c>
      <c r="AK1374" t="n">
        <v>25</v>
      </c>
      <c r="AL1374" t="n">
        <v>9</v>
      </c>
      <c r="AM1374" t="n">
        <v>9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HYPERLINK("http://catalog.hathitrust.org/Record/000009203","HathiTrust Record")</f>
        <v/>
      </c>
      <c r="AS1374">
        <f>HYPERLINK("https://creighton-primo.hosted.exlibrisgroup.com/primo-explore/search?tab=default_tab&amp;search_scope=EVERYTHING&amp;vid=01CRU&amp;lang=en_US&amp;offset=0&amp;query=any,contains,991000789829702656","Catalog Record")</f>
        <v/>
      </c>
      <c r="AT1374">
        <f>HYPERLINK("http://www.worldcat.org/oclc/658905","WorldCat Record")</f>
        <v/>
      </c>
    </row>
    <row r="1375">
      <c r="A1375" t="inlineStr">
        <is>
          <t>No</t>
        </is>
      </c>
      <c r="B1375" t="inlineStr">
        <is>
          <t>BF 789.D4 C156f 1992</t>
        </is>
      </c>
      <c r="C1375" t="inlineStr">
        <is>
          <t>0                      BF 0789000D  4                  C  156f        1992</t>
        </is>
      </c>
      <c r="D1375" t="inlineStr">
        <is>
          <t>Final gifts : understanding the special awareness, needs, and communications of the dying / Maggie Callanan and Patricia Kelley.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Yes</t>
        </is>
      </c>
      <c r="J1375" t="inlineStr">
        <is>
          <t>0</t>
        </is>
      </c>
      <c r="K1375" t="inlineStr">
        <is>
          <t>Callanan, Maggie.</t>
        </is>
      </c>
      <c r="L1375" t="inlineStr">
        <is>
          <t>New York, N.Y. : Poseidon Press, c1992.</t>
        </is>
      </c>
      <c r="M1375" t="inlineStr">
        <is>
          <t>1992</t>
        </is>
      </c>
      <c r="O1375" t="inlineStr">
        <is>
          <t>eng</t>
        </is>
      </c>
      <c r="P1375" t="inlineStr">
        <is>
          <t>xxu</t>
        </is>
      </c>
      <c r="R1375" t="inlineStr">
        <is>
          <t xml:space="preserve">BF </t>
        </is>
      </c>
      <c r="S1375" t="n">
        <v>18</v>
      </c>
      <c r="T1375" t="n">
        <v>18</v>
      </c>
      <c r="U1375" t="inlineStr">
        <is>
          <t>2004-11-04</t>
        </is>
      </c>
      <c r="V1375" t="inlineStr">
        <is>
          <t>2004-11-04</t>
        </is>
      </c>
      <c r="W1375" t="inlineStr">
        <is>
          <t>1993-06-15</t>
        </is>
      </c>
      <c r="X1375" t="inlineStr">
        <is>
          <t>1993-06-15</t>
        </is>
      </c>
      <c r="Y1375" t="n">
        <v>794</v>
      </c>
      <c r="Z1375" t="n">
        <v>748</v>
      </c>
      <c r="AA1375" t="n">
        <v>1843</v>
      </c>
      <c r="AB1375" t="n">
        <v>6</v>
      </c>
      <c r="AC1375" t="n">
        <v>21</v>
      </c>
      <c r="AD1375" t="n">
        <v>6</v>
      </c>
      <c r="AE1375" t="n">
        <v>29</v>
      </c>
      <c r="AF1375" t="n">
        <v>3</v>
      </c>
      <c r="AG1375" t="n">
        <v>11</v>
      </c>
      <c r="AH1375" t="n">
        <v>0</v>
      </c>
      <c r="AI1375" t="n">
        <v>4</v>
      </c>
      <c r="AJ1375" t="n">
        <v>4</v>
      </c>
      <c r="AK1375" t="n">
        <v>12</v>
      </c>
      <c r="AL1375" t="n">
        <v>0</v>
      </c>
      <c r="AM1375" t="n">
        <v>7</v>
      </c>
      <c r="AN1375" t="n">
        <v>0</v>
      </c>
      <c r="AO1375" t="n">
        <v>0</v>
      </c>
      <c r="AP1375" t="inlineStr">
        <is>
          <t>No</t>
        </is>
      </c>
      <c r="AQ1375" t="inlineStr">
        <is>
          <t>Yes</t>
        </is>
      </c>
      <c r="AR1375">
        <f>HYPERLINK("http://catalog.hathitrust.org/Record/101934684","HathiTrust Record")</f>
        <v/>
      </c>
      <c r="AS1375">
        <f>HYPERLINK("https://creighton-primo.hosted.exlibrisgroup.com/primo-explore/search?tab=default_tab&amp;search_scope=EVERYTHING&amp;vid=01CRU&amp;lang=en_US&amp;offset=0&amp;query=any,contains,991001481379702656","Catalog Record")</f>
        <v/>
      </c>
      <c r="AT1375">
        <f>HYPERLINK("http://www.worldcat.org/oclc/24913222","WorldCat Record")</f>
        <v/>
      </c>
    </row>
    <row r="1376">
      <c r="A1376" t="inlineStr">
        <is>
          <t>No</t>
        </is>
      </c>
      <c r="B1376" t="inlineStr">
        <is>
          <t>BF 789.D4 D287 1975</t>
        </is>
      </c>
      <c r="C1376" t="inlineStr">
        <is>
          <t>0                      BF 0789000D  4                  D  287         1975</t>
        </is>
      </c>
      <c r="D1376" t="inlineStr">
        <is>
          <t>Death : the final stage of growth / [edited by] Elisabeth Kübler-Ross.</t>
        </is>
      </c>
      <c r="F1376" t="inlineStr">
        <is>
          <t>No</t>
        </is>
      </c>
      <c r="G1376" t="inlineStr">
        <is>
          <t>2</t>
        </is>
      </c>
      <c r="H1376" t="inlineStr">
        <is>
          <t>No</t>
        </is>
      </c>
      <c r="I1376" t="inlineStr">
        <is>
          <t>Yes</t>
        </is>
      </c>
      <c r="J1376" t="inlineStr">
        <is>
          <t>0</t>
        </is>
      </c>
      <c r="L1376" t="inlineStr">
        <is>
          <t>-- Englewood Cliffs, N.J. : Prentice-Hall, c1975.</t>
        </is>
      </c>
      <c r="M1376" t="inlineStr">
        <is>
          <t>1975</t>
        </is>
      </c>
      <c r="O1376" t="inlineStr">
        <is>
          <t>eng</t>
        </is>
      </c>
      <c r="P1376" t="inlineStr">
        <is>
          <t>nju</t>
        </is>
      </c>
      <c r="Q1376" t="inlineStr">
        <is>
          <t>Human development books</t>
        </is>
      </c>
      <c r="R1376" t="inlineStr">
        <is>
          <t xml:space="preserve">BF </t>
        </is>
      </c>
      <c r="S1376" t="n">
        <v>5</v>
      </c>
      <c r="T1376" t="n">
        <v>5</v>
      </c>
      <c r="U1376" t="inlineStr">
        <is>
          <t>1997-04-02</t>
        </is>
      </c>
      <c r="V1376" t="inlineStr">
        <is>
          <t>1997-04-02</t>
        </is>
      </c>
      <c r="W1376" t="inlineStr">
        <is>
          <t>1987-09-03</t>
        </is>
      </c>
      <c r="X1376" t="inlineStr">
        <is>
          <t>1987-09-03</t>
        </is>
      </c>
      <c r="Y1376" t="n">
        <v>2115</v>
      </c>
      <c r="Z1376" t="n">
        <v>1910</v>
      </c>
      <c r="AA1376" t="n">
        <v>2974</v>
      </c>
      <c r="AB1376" t="n">
        <v>18</v>
      </c>
      <c r="AC1376" t="n">
        <v>25</v>
      </c>
      <c r="AD1376" t="n">
        <v>43</v>
      </c>
      <c r="AE1376" t="n">
        <v>61</v>
      </c>
      <c r="AF1376" t="n">
        <v>16</v>
      </c>
      <c r="AG1376" t="n">
        <v>25</v>
      </c>
      <c r="AH1376" t="n">
        <v>8</v>
      </c>
      <c r="AI1376" t="n">
        <v>10</v>
      </c>
      <c r="AJ1376" t="n">
        <v>23</v>
      </c>
      <c r="AK1376" t="n">
        <v>29</v>
      </c>
      <c r="AL1376" t="n">
        <v>6</v>
      </c>
      <c r="AM1376" t="n">
        <v>10</v>
      </c>
      <c r="AN1376" t="n">
        <v>0</v>
      </c>
      <c r="AO1376" t="n">
        <v>0</v>
      </c>
      <c r="AP1376" t="inlineStr">
        <is>
          <t>No</t>
        </is>
      </c>
      <c r="AQ1376" t="inlineStr">
        <is>
          <t>Yes</t>
        </is>
      </c>
      <c r="AR1376">
        <f>HYPERLINK("http://catalog.hathitrust.org/Record/004446607","HathiTrust Record")</f>
        <v/>
      </c>
      <c r="AS1376">
        <f>HYPERLINK("https://creighton-primo.hosted.exlibrisgroup.com/primo-explore/search?tab=default_tab&amp;search_scope=EVERYTHING&amp;vid=01CRU&amp;lang=en_US&amp;offset=0&amp;query=any,contains,991000789769702656","Catalog Record")</f>
        <v/>
      </c>
      <c r="AT1376">
        <f>HYPERLINK("http://www.worldcat.org/oclc/1273611","WorldCat Record")</f>
        <v/>
      </c>
    </row>
    <row r="1377">
      <c r="A1377" t="inlineStr">
        <is>
          <t>No</t>
        </is>
      </c>
      <c r="B1377" t="inlineStr">
        <is>
          <t>BF 789.D4 D536 1978</t>
        </is>
      </c>
      <c r="C1377" t="inlineStr">
        <is>
          <t>0                      BF 0789000D  4                  D  536         1978</t>
        </is>
      </c>
      <c r="D1377" t="inlineStr">
        <is>
          <t>Dialogues : the dying and the living / edited by Austin H. Kutscher, Lillian G. Kutscher, et al.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L1377" t="inlineStr">
        <is>
          <t>New York : MSS Information Corp. : distributed by Arno Press, c1978.</t>
        </is>
      </c>
      <c r="M1377" t="inlineStr">
        <is>
          <t>1978</t>
        </is>
      </c>
      <c r="O1377" t="inlineStr">
        <is>
          <t>eng</t>
        </is>
      </c>
      <c r="P1377" t="inlineStr">
        <is>
          <t>nyu</t>
        </is>
      </c>
      <c r="Q1377" t="inlineStr">
        <is>
          <t>Continuing series on thanatology</t>
        </is>
      </c>
      <c r="R1377" t="inlineStr">
        <is>
          <t xml:space="preserve">BF </t>
        </is>
      </c>
      <c r="S1377" t="n">
        <v>1</v>
      </c>
      <c r="T1377" t="n">
        <v>1</v>
      </c>
      <c r="U1377" t="inlineStr">
        <is>
          <t>1997-11-24</t>
        </is>
      </c>
      <c r="V1377" t="inlineStr">
        <is>
          <t>1997-11-24</t>
        </is>
      </c>
      <c r="W1377" t="inlineStr">
        <is>
          <t>1987-09-03</t>
        </is>
      </c>
      <c r="X1377" t="inlineStr">
        <is>
          <t>1987-09-03</t>
        </is>
      </c>
      <c r="Y1377" t="n">
        <v>62</v>
      </c>
      <c r="Z1377" t="n">
        <v>59</v>
      </c>
      <c r="AA1377" t="n">
        <v>59</v>
      </c>
      <c r="AB1377" t="n">
        <v>1</v>
      </c>
      <c r="AC1377" t="n">
        <v>1</v>
      </c>
      <c r="AD1377" t="n">
        <v>0</v>
      </c>
      <c r="AE1377" t="n">
        <v>0</v>
      </c>
      <c r="AF1377" t="n">
        <v>0</v>
      </c>
      <c r="AG1377" t="n">
        <v>0</v>
      </c>
      <c r="AH1377" t="n">
        <v>0</v>
      </c>
      <c r="AI1377" t="n">
        <v>0</v>
      </c>
      <c r="AJ1377" t="n">
        <v>0</v>
      </c>
      <c r="AK1377" t="n">
        <v>0</v>
      </c>
      <c r="AL1377" t="n">
        <v>0</v>
      </c>
      <c r="AM1377" t="n">
        <v>0</v>
      </c>
      <c r="AN1377" t="n">
        <v>0</v>
      </c>
      <c r="AO1377" t="n">
        <v>0</v>
      </c>
      <c r="AP1377" t="inlineStr">
        <is>
          <t>No</t>
        </is>
      </c>
      <c r="AQ1377" t="inlineStr">
        <is>
          <t>No</t>
        </is>
      </c>
      <c r="AS1377">
        <f>HYPERLINK("https://creighton-primo.hosted.exlibrisgroup.com/primo-explore/search?tab=default_tab&amp;search_scope=EVERYTHING&amp;vid=01CRU&amp;lang=en_US&amp;offset=0&amp;query=any,contains,991000789599702656","Catalog Record")</f>
        <v/>
      </c>
      <c r="AT1377">
        <f>HYPERLINK("http://www.worldcat.org/oclc/3706140","WorldCat Record")</f>
        <v/>
      </c>
    </row>
    <row r="1378">
      <c r="A1378" t="inlineStr">
        <is>
          <t>No</t>
        </is>
      </c>
      <c r="B1378" t="inlineStr">
        <is>
          <t>BF 789.D4 D994 1970</t>
        </is>
      </c>
      <c r="C1378" t="inlineStr">
        <is>
          <t>0                      BF 0789000D  4                  D  994         1970</t>
        </is>
      </c>
      <c r="D1378" t="inlineStr">
        <is>
          <t>The dying patient / Edited by Orville G. Brim, Jr. ... [et. al.]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L1378" t="inlineStr">
        <is>
          <t>-- New York : Russell Sage Foundation, c1970.</t>
        </is>
      </c>
      <c r="M1378" t="inlineStr">
        <is>
          <t>1970</t>
        </is>
      </c>
      <c r="O1378" t="inlineStr">
        <is>
          <t>eng</t>
        </is>
      </c>
      <c r="P1378" t="inlineStr">
        <is>
          <t>nyu</t>
        </is>
      </c>
      <c r="R1378" t="inlineStr">
        <is>
          <t xml:space="preserve">BF </t>
        </is>
      </c>
      <c r="S1378" t="n">
        <v>2</v>
      </c>
      <c r="T1378" t="n">
        <v>2</v>
      </c>
      <c r="U1378" t="inlineStr">
        <is>
          <t>1996-11-29</t>
        </is>
      </c>
      <c r="V1378" t="inlineStr">
        <is>
          <t>1996-11-29</t>
        </is>
      </c>
      <c r="W1378" t="inlineStr">
        <is>
          <t>1989-06-09</t>
        </is>
      </c>
      <c r="X1378" t="inlineStr">
        <is>
          <t>1989-06-09</t>
        </is>
      </c>
      <c r="Y1378" t="n">
        <v>773</v>
      </c>
      <c r="Z1378" t="n">
        <v>668</v>
      </c>
      <c r="AA1378" t="n">
        <v>753</v>
      </c>
      <c r="AB1378" t="n">
        <v>5</v>
      </c>
      <c r="AC1378" t="n">
        <v>5</v>
      </c>
      <c r="AD1378" t="n">
        <v>26</v>
      </c>
      <c r="AE1378" t="n">
        <v>31</v>
      </c>
      <c r="AF1378" t="n">
        <v>6</v>
      </c>
      <c r="AG1378" t="n">
        <v>9</v>
      </c>
      <c r="AH1378" t="n">
        <v>3</v>
      </c>
      <c r="AI1378" t="n">
        <v>6</v>
      </c>
      <c r="AJ1378" t="n">
        <v>12</v>
      </c>
      <c r="AK1378" t="n">
        <v>13</v>
      </c>
      <c r="AL1378" t="n">
        <v>4</v>
      </c>
      <c r="AM1378" t="n">
        <v>4</v>
      </c>
      <c r="AN1378" t="n">
        <v>6</v>
      </c>
      <c r="AO1378" t="n">
        <v>6</v>
      </c>
      <c r="AP1378" t="inlineStr">
        <is>
          <t>No</t>
        </is>
      </c>
      <c r="AQ1378" t="inlineStr">
        <is>
          <t>No</t>
        </is>
      </c>
      <c r="AS1378">
        <f>HYPERLINK("https://creighton-primo.hosted.exlibrisgroup.com/primo-explore/search?tab=default_tab&amp;search_scope=EVERYTHING&amp;vid=01CRU&amp;lang=en_US&amp;offset=0&amp;query=any,contains,991000791409702656","Catalog Record")</f>
        <v/>
      </c>
      <c r="AT1378">
        <f>HYPERLINK("http://www.worldcat.org/oclc/77800","WorldCat Record")</f>
        <v/>
      </c>
    </row>
    <row r="1379">
      <c r="A1379" t="inlineStr">
        <is>
          <t>No</t>
        </is>
      </c>
      <c r="B1379" t="inlineStr">
        <is>
          <t>BF 789.D4 F141 1996</t>
        </is>
      </c>
      <c r="C1379" t="inlineStr">
        <is>
          <t>0                      BF 0789000D  4                  F  141         1996</t>
        </is>
      </c>
      <c r="D1379" t="inlineStr">
        <is>
          <t>Facing death : where culture, religion, and medicine meet / edited by Howard M. Spiro, Mary G. McCrea Curnen, and Lee Palmer Wandel.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1</t>
        </is>
      </c>
      <c r="L1379" t="inlineStr">
        <is>
          <t>New Haven : Yale University Press, c1996.</t>
        </is>
      </c>
      <c r="M1379" t="inlineStr">
        <is>
          <t>1996</t>
        </is>
      </c>
      <c r="O1379" t="inlineStr">
        <is>
          <t>eng</t>
        </is>
      </c>
      <c r="P1379" t="inlineStr">
        <is>
          <t>ctu</t>
        </is>
      </c>
      <c r="R1379" t="inlineStr">
        <is>
          <t xml:space="preserve">BF </t>
        </is>
      </c>
      <c r="S1379" t="n">
        <v>9</v>
      </c>
      <c r="T1379" t="n">
        <v>9</v>
      </c>
      <c r="U1379" t="inlineStr">
        <is>
          <t>2003-08-20</t>
        </is>
      </c>
      <c r="V1379" t="inlineStr">
        <is>
          <t>2003-08-20</t>
        </is>
      </c>
      <c r="W1379" t="inlineStr">
        <is>
          <t>1997-06-04</t>
        </is>
      </c>
      <c r="X1379" t="inlineStr">
        <is>
          <t>1997-06-04</t>
        </is>
      </c>
      <c r="Y1379" t="n">
        <v>1288</v>
      </c>
      <c r="Z1379" t="n">
        <v>1141</v>
      </c>
      <c r="AA1379" t="n">
        <v>1795</v>
      </c>
      <c r="AB1379" t="n">
        <v>8</v>
      </c>
      <c r="AC1379" t="n">
        <v>18</v>
      </c>
      <c r="AD1379" t="n">
        <v>46</v>
      </c>
      <c r="AE1379" t="n">
        <v>63</v>
      </c>
      <c r="AF1379" t="n">
        <v>17</v>
      </c>
      <c r="AG1379" t="n">
        <v>22</v>
      </c>
      <c r="AH1379" t="n">
        <v>9</v>
      </c>
      <c r="AI1379" t="n">
        <v>11</v>
      </c>
      <c r="AJ1379" t="n">
        <v>25</v>
      </c>
      <c r="AK1379" t="n">
        <v>26</v>
      </c>
      <c r="AL1379" t="n">
        <v>6</v>
      </c>
      <c r="AM1379" t="n">
        <v>15</v>
      </c>
      <c r="AN1379" t="n">
        <v>1</v>
      </c>
      <c r="AO1379" t="n">
        <v>2</v>
      </c>
      <c r="AP1379" t="inlineStr">
        <is>
          <t>No</t>
        </is>
      </c>
      <c r="AQ1379" t="inlineStr">
        <is>
          <t>No</t>
        </is>
      </c>
      <c r="AS1379">
        <f>HYPERLINK("https://creighton-primo.hosted.exlibrisgroup.com/primo-explore/search?tab=default_tab&amp;search_scope=EVERYTHING&amp;vid=01CRU&amp;lang=en_US&amp;offset=0&amp;query=any,contains,991001249849702656","Catalog Record")</f>
        <v/>
      </c>
      <c r="AT1379">
        <f>HYPERLINK("http://www.worldcat.org/oclc/34117429","WorldCat Record")</f>
        <v/>
      </c>
    </row>
    <row r="1380">
      <c r="A1380" t="inlineStr">
        <is>
          <t>No</t>
        </is>
      </c>
      <c r="B1380" t="inlineStr">
        <is>
          <t>BF 789.D4 G875c 1974</t>
        </is>
      </c>
      <c r="C1380" t="inlineStr">
        <is>
          <t>0                      BF 0789000D  4                  G  875c        1974</t>
        </is>
      </c>
      <c r="D1380" t="inlineStr">
        <is>
          <t>Concerning death : a practical guide for the living / edited by Earl A. Grollman.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Grollman, Earl A.</t>
        </is>
      </c>
      <c r="L1380" t="inlineStr">
        <is>
          <t>Boston : Beacon Press, 1974.</t>
        </is>
      </c>
      <c r="M1380" t="inlineStr">
        <is>
          <t>1974</t>
        </is>
      </c>
      <c r="O1380" t="inlineStr">
        <is>
          <t>eng</t>
        </is>
      </c>
      <c r="P1380" t="inlineStr">
        <is>
          <t>mau</t>
        </is>
      </c>
      <c r="Q1380" t="inlineStr">
        <is>
          <t>Beacon paperback ; 484</t>
        </is>
      </c>
      <c r="R1380" t="inlineStr">
        <is>
          <t xml:space="preserve">BF </t>
        </is>
      </c>
      <c r="S1380" t="n">
        <v>4</v>
      </c>
      <c r="T1380" t="n">
        <v>4</v>
      </c>
      <c r="U1380" t="inlineStr">
        <is>
          <t>2000-10-23</t>
        </is>
      </c>
      <c r="V1380" t="inlineStr">
        <is>
          <t>2000-10-23</t>
        </is>
      </c>
      <c r="W1380" t="inlineStr">
        <is>
          <t>1987-09-03</t>
        </is>
      </c>
      <c r="X1380" t="inlineStr">
        <is>
          <t>1987-09-03</t>
        </is>
      </c>
      <c r="Y1380" t="n">
        <v>1100</v>
      </c>
      <c r="Z1380" t="n">
        <v>1003</v>
      </c>
      <c r="AA1380" t="n">
        <v>1007</v>
      </c>
      <c r="AB1380" t="n">
        <v>12</v>
      </c>
      <c r="AC1380" t="n">
        <v>12</v>
      </c>
      <c r="AD1380" t="n">
        <v>32</v>
      </c>
      <c r="AE1380" t="n">
        <v>32</v>
      </c>
      <c r="AF1380" t="n">
        <v>13</v>
      </c>
      <c r="AG1380" t="n">
        <v>13</v>
      </c>
      <c r="AH1380" t="n">
        <v>6</v>
      </c>
      <c r="AI1380" t="n">
        <v>6</v>
      </c>
      <c r="AJ1380" t="n">
        <v>17</v>
      </c>
      <c r="AK1380" t="n">
        <v>17</v>
      </c>
      <c r="AL1380" t="n">
        <v>5</v>
      </c>
      <c r="AM1380" t="n">
        <v>5</v>
      </c>
      <c r="AN1380" t="n">
        <v>0</v>
      </c>
      <c r="AO1380" t="n">
        <v>0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HYPERLINK("http://catalog.hathitrust.org/Record/000010393","HathiTrust Record")</f>
        <v/>
      </c>
      <c r="AS1380">
        <f>HYPERLINK("https://creighton-primo.hosted.exlibrisgroup.com/primo-explore/search?tab=default_tab&amp;search_scope=EVERYTHING&amp;vid=01CRU&amp;lang=en_US&amp;offset=0&amp;query=any,contains,991000791369702656","Catalog Record")</f>
        <v/>
      </c>
      <c r="AT1380">
        <f>HYPERLINK("http://www.worldcat.org/oclc/723005","WorldCat Record")</f>
        <v/>
      </c>
    </row>
    <row r="1381">
      <c r="A1381" t="inlineStr">
        <is>
          <t>No</t>
        </is>
      </c>
      <c r="B1381" t="inlineStr">
        <is>
          <t>BF 789.D4 H741f 1977</t>
        </is>
      </c>
      <c r="C1381" t="inlineStr">
        <is>
          <t>0                      BF 0789000D  4                  H  741f        1977</t>
        </is>
      </c>
      <c r="D1381" t="inlineStr">
        <is>
          <t>The family in mourning : a guide for health professionals / Charles E. Hollingsworth, Robert O. Pasnau, and contributors.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K1381" t="inlineStr">
        <is>
          <t>Hollingsworth, Charles E.</t>
        </is>
      </c>
      <c r="L1381" t="inlineStr">
        <is>
          <t>New York : Grune &amp; Stratton, c1977.</t>
        </is>
      </c>
      <c r="M1381" t="inlineStr">
        <is>
          <t>1977</t>
        </is>
      </c>
      <c r="O1381" t="inlineStr">
        <is>
          <t>eng</t>
        </is>
      </c>
      <c r="P1381" t="inlineStr">
        <is>
          <t>nyu</t>
        </is>
      </c>
      <c r="Q1381" t="inlineStr">
        <is>
          <t>Seminars in psychiatry</t>
        </is>
      </c>
      <c r="R1381" t="inlineStr">
        <is>
          <t xml:space="preserve">BF </t>
        </is>
      </c>
      <c r="S1381" t="n">
        <v>9</v>
      </c>
      <c r="T1381" t="n">
        <v>9</v>
      </c>
      <c r="U1381" t="inlineStr">
        <is>
          <t>2003-08-20</t>
        </is>
      </c>
      <c r="V1381" t="inlineStr">
        <is>
          <t>2003-08-20</t>
        </is>
      </c>
      <c r="W1381" t="inlineStr">
        <is>
          <t>1989-10-06</t>
        </is>
      </c>
      <c r="X1381" t="inlineStr">
        <is>
          <t>1989-10-06</t>
        </is>
      </c>
      <c r="Y1381" t="n">
        <v>327</v>
      </c>
      <c r="Z1381" t="n">
        <v>251</v>
      </c>
      <c r="AA1381" t="n">
        <v>258</v>
      </c>
      <c r="AB1381" t="n">
        <v>3</v>
      </c>
      <c r="AC1381" t="n">
        <v>3</v>
      </c>
      <c r="AD1381" t="n">
        <v>10</v>
      </c>
      <c r="AE1381" t="n">
        <v>10</v>
      </c>
      <c r="AF1381" t="n">
        <v>1</v>
      </c>
      <c r="AG1381" t="n">
        <v>1</v>
      </c>
      <c r="AH1381" t="n">
        <v>2</v>
      </c>
      <c r="AI1381" t="n">
        <v>2</v>
      </c>
      <c r="AJ1381" t="n">
        <v>8</v>
      </c>
      <c r="AK1381" t="n">
        <v>8</v>
      </c>
      <c r="AL1381" t="n">
        <v>2</v>
      </c>
      <c r="AM1381" t="n">
        <v>2</v>
      </c>
      <c r="AN1381" t="n">
        <v>0</v>
      </c>
      <c r="AO1381" t="n">
        <v>0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HYPERLINK("http://catalog.hathitrust.org/Record/000254303","HathiTrust Record")</f>
        <v/>
      </c>
      <c r="AS1381">
        <f>HYPERLINK("https://creighton-primo.hosted.exlibrisgroup.com/primo-explore/search?tab=default_tab&amp;search_scope=EVERYTHING&amp;vid=01CRU&amp;lang=en_US&amp;offset=0&amp;query=any,contains,991001353309702656","Catalog Record")</f>
        <v/>
      </c>
      <c r="AT1381">
        <f>HYPERLINK("http://www.worldcat.org/oclc/3090116","WorldCat Record")</f>
        <v/>
      </c>
    </row>
    <row r="1382">
      <c r="A1382" t="inlineStr">
        <is>
          <t>No</t>
        </is>
      </c>
      <c r="B1382" t="inlineStr">
        <is>
          <t>BF 789.D4 K19p 1972</t>
        </is>
      </c>
      <c r="C1382" t="inlineStr">
        <is>
          <t>0                      BF 0789000D  4                  K  19p         1972</t>
        </is>
      </c>
      <c r="D1382" t="inlineStr">
        <is>
          <t>The psychology of death / Robert Kastenbaum and Ruth Aisenberg.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Yes</t>
        </is>
      </c>
      <c r="J1382" t="inlineStr">
        <is>
          <t>1</t>
        </is>
      </c>
      <c r="K1382" t="inlineStr">
        <is>
          <t>Kastenbaum, Robert.</t>
        </is>
      </c>
      <c r="L1382" t="inlineStr">
        <is>
          <t>New York : Springer Pub. Co., 1972.</t>
        </is>
      </c>
      <c r="M1382" t="inlineStr">
        <is>
          <t>1972</t>
        </is>
      </c>
      <c r="O1382" t="inlineStr">
        <is>
          <t>eng</t>
        </is>
      </c>
      <c r="P1382" t="inlineStr">
        <is>
          <t>nyu</t>
        </is>
      </c>
      <c r="R1382" t="inlineStr">
        <is>
          <t xml:space="preserve">BF </t>
        </is>
      </c>
      <c r="S1382" t="n">
        <v>2</v>
      </c>
      <c r="T1382" t="n">
        <v>2</v>
      </c>
      <c r="U1382" t="inlineStr">
        <is>
          <t>1999-09-05</t>
        </is>
      </c>
      <c r="V1382" t="inlineStr">
        <is>
          <t>1999-09-05</t>
        </is>
      </c>
      <c r="W1382" t="inlineStr">
        <is>
          <t>1987-09-03</t>
        </is>
      </c>
      <c r="X1382" t="inlineStr">
        <is>
          <t>1987-09-03</t>
        </is>
      </c>
      <c r="Y1382" t="n">
        <v>1005</v>
      </c>
      <c r="Z1382" t="n">
        <v>878</v>
      </c>
      <c r="AA1382" t="n">
        <v>2132</v>
      </c>
      <c r="AB1382" t="n">
        <v>5</v>
      </c>
      <c r="AC1382" t="n">
        <v>18</v>
      </c>
      <c r="AD1382" t="n">
        <v>34</v>
      </c>
      <c r="AE1382" t="n">
        <v>69</v>
      </c>
      <c r="AF1382" t="n">
        <v>12</v>
      </c>
      <c r="AG1382" t="n">
        <v>27</v>
      </c>
      <c r="AH1382" t="n">
        <v>8</v>
      </c>
      <c r="AI1382" t="n">
        <v>11</v>
      </c>
      <c r="AJ1382" t="n">
        <v>19</v>
      </c>
      <c r="AK1382" t="n">
        <v>28</v>
      </c>
      <c r="AL1382" t="n">
        <v>4</v>
      </c>
      <c r="AM1382" t="n">
        <v>14</v>
      </c>
      <c r="AN1382" t="n">
        <v>0</v>
      </c>
      <c r="AO1382" t="n">
        <v>3</v>
      </c>
      <c r="AP1382" t="inlineStr">
        <is>
          <t>No</t>
        </is>
      </c>
      <c r="AQ1382" t="inlineStr">
        <is>
          <t>Yes</t>
        </is>
      </c>
      <c r="AR1382">
        <f>HYPERLINK("http://catalog.hathitrust.org/Record/000431798","HathiTrust Record")</f>
        <v/>
      </c>
      <c r="AS1382">
        <f>HYPERLINK("https://creighton-primo.hosted.exlibrisgroup.com/primo-explore/search?tab=default_tab&amp;search_scope=EVERYTHING&amp;vid=01CRU&amp;lang=en_US&amp;offset=0&amp;query=any,contains,991000791189702656","Catalog Record")</f>
        <v/>
      </c>
      <c r="AT1382">
        <f>HYPERLINK("http://www.worldcat.org/oclc/389752","WorldCat Record")</f>
        <v/>
      </c>
    </row>
    <row r="1383">
      <c r="A1383" t="inlineStr">
        <is>
          <t>No</t>
        </is>
      </c>
      <c r="B1383" t="inlineStr">
        <is>
          <t>BF 789.D4 K95L 1981</t>
        </is>
      </c>
      <c r="C1383" t="inlineStr">
        <is>
          <t>0                      BF 0789000D  4                  K  95L         1981</t>
        </is>
      </c>
      <c r="D1383" t="inlineStr">
        <is>
          <t>Living with death and dying / Elisabeth Kübler-Ross.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K1383" t="inlineStr">
        <is>
          <t>Kübler-Ross, Elisabeth.</t>
        </is>
      </c>
      <c r="L1383" t="inlineStr">
        <is>
          <t>New York : Macmillan, c1981.</t>
        </is>
      </c>
      <c r="M1383" t="inlineStr">
        <is>
          <t>1981</t>
        </is>
      </c>
      <c r="O1383" t="inlineStr">
        <is>
          <t>eng</t>
        </is>
      </c>
      <c r="P1383" t="inlineStr">
        <is>
          <t>nyu</t>
        </is>
      </c>
      <c r="R1383" t="inlineStr">
        <is>
          <t xml:space="preserve">BF </t>
        </is>
      </c>
      <c r="S1383" t="n">
        <v>5</v>
      </c>
      <c r="T1383" t="n">
        <v>5</v>
      </c>
      <c r="U1383" t="inlineStr">
        <is>
          <t>1999-09-05</t>
        </is>
      </c>
      <c r="V1383" t="inlineStr">
        <is>
          <t>1999-09-05</t>
        </is>
      </c>
      <c r="W1383" t="inlineStr">
        <is>
          <t>1987-09-03</t>
        </is>
      </c>
      <c r="X1383" t="inlineStr">
        <is>
          <t>1987-09-03</t>
        </is>
      </c>
      <c r="Y1383" t="n">
        <v>1658</v>
      </c>
      <c r="Z1383" t="n">
        <v>1511</v>
      </c>
      <c r="AA1383" t="n">
        <v>2043</v>
      </c>
      <c r="AB1383" t="n">
        <v>10</v>
      </c>
      <c r="AC1383" t="n">
        <v>12</v>
      </c>
      <c r="AD1383" t="n">
        <v>28</v>
      </c>
      <c r="AE1383" t="n">
        <v>33</v>
      </c>
      <c r="AF1383" t="n">
        <v>13</v>
      </c>
      <c r="AG1383" t="n">
        <v>15</v>
      </c>
      <c r="AH1383" t="n">
        <v>9</v>
      </c>
      <c r="AI1383" t="n">
        <v>9</v>
      </c>
      <c r="AJ1383" t="n">
        <v>10</v>
      </c>
      <c r="AK1383" t="n">
        <v>13</v>
      </c>
      <c r="AL1383" t="n">
        <v>2</v>
      </c>
      <c r="AM1383" t="n">
        <v>3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Yes</t>
        </is>
      </c>
      <c r="AR1383">
        <f>HYPERLINK("http://catalog.hathitrust.org/Record/000085462","HathiTrust Record")</f>
        <v/>
      </c>
      <c r="AS1383">
        <f>HYPERLINK("https://creighton-primo.hosted.exlibrisgroup.com/primo-explore/search?tab=default_tab&amp;search_scope=EVERYTHING&amp;vid=01CRU&amp;lang=en_US&amp;offset=0&amp;query=any,contains,991000791019702656","Catalog Record")</f>
        <v/>
      </c>
      <c r="AT1383">
        <f>HYPERLINK("http://www.worldcat.org/oclc/7170440","WorldCat Record")</f>
        <v/>
      </c>
    </row>
    <row r="1384">
      <c r="A1384" t="inlineStr">
        <is>
          <t>No</t>
        </is>
      </c>
      <c r="B1384" t="inlineStr">
        <is>
          <t>BF 789.D4 L616d 1985</t>
        </is>
      </c>
      <c r="C1384" t="inlineStr">
        <is>
          <t>0                      BF 0789000D  4                  L  616d        1985</t>
        </is>
      </c>
      <c r="D1384" t="inlineStr">
        <is>
          <t>A death of one's own / by Gerda Lerner.</t>
        </is>
      </c>
      <c r="F1384" t="inlineStr">
        <is>
          <t>No</t>
        </is>
      </c>
      <c r="G1384" t="inlineStr">
        <is>
          <t>1</t>
        </is>
      </c>
      <c r="H1384" t="inlineStr">
        <is>
          <t>No</t>
        </is>
      </c>
      <c r="I1384" t="inlineStr">
        <is>
          <t>No</t>
        </is>
      </c>
      <c r="J1384" t="inlineStr">
        <is>
          <t>0</t>
        </is>
      </c>
      <c r="K1384" t="inlineStr">
        <is>
          <t>Lerner, Gerda, 1920-2013.</t>
        </is>
      </c>
      <c r="L1384" t="inlineStr">
        <is>
          <t>Madison, WI : University of Wisconsin Press, 1985, c1978.</t>
        </is>
      </c>
      <c r="M1384" t="inlineStr">
        <is>
          <t>1985</t>
        </is>
      </c>
      <c r="O1384" t="inlineStr">
        <is>
          <t>eng</t>
        </is>
      </c>
      <c r="P1384" t="inlineStr">
        <is>
          <t>wiu</t>
        </is>
      </c>
      <c r="R1384" t="inlineStr">
        <is>
          <t xml:space="preserve">BF </t>
        </is>
      </c>
      <c r="S1384" t="n">
        <v>8</v>
      </c>
      <c r="T1384" t="n">
        <v>8</v>
      </c>
      <c r="U1384" t="inlineStr">
        <is>
          <t>1998-03-17</t>
        </is>
      </c>
      <c r="V1384" t="inlineStr">
        <is>
          <t>1998-03-17</t>
        </is>
      </c>
      <c r="W1384" t="inlineStr">
        <is>
          <t>1987-09-03</t>
        </is>
      </c>
      <c r="X1384" t="inlineStr">
        <is>
          <t>1987-09-03</t>
        </is>
      </c>
      <c r="Y1384" t="n">
        <v>126</v>
      </c>
      <c r="Z1384" t="n">
        <v>121</v>
      </c>
      <c r="AA1384" t="n">
        <v>605</v>
      </c>
      <c r="AB1384" t="n">
        <v>1</v>
      </c>
      <c r="AC1384" t="n">
        <v>3</v>
      </c>
      <c r="AD1384" t="n">
        <v>6</v>
      </c>
      <c r="AE1384" t="n">
        <v>13</v>
      </c>
      <c r="AF1384" t="n">
        <v>1</v>
      </c>
      <c r="AG1384" t="n">
        <v>3</v>
      </c>
      <c r="AH1384" t="n">
        <v>1</v>
      </c>
      <c r="AI1384" t="n">
        <v>3</v>
      </c>
      <c r="AJ1384" t="n">
        <v>4</v>
      </c>
      <c r="AK1384" t="n">
        <v>8</v>
      </c>
      <c r="AL1384" t="n">
        <v>0</v>
      </c>
      <c r="AM1384" t="n">
        <v>1</v>
      </c>
      <c r="AN1384" t="n">
        <v>0</v>
      </c>
      <c r="AO1384" t="n">
        <v>0</v>
      </c>
      <c r="AP1384" t="inlineStr">
        <is>
          <t>No</t>
        </is>
      </c>
      <c r="AQ1384" t="inlineStr">
        <is>
          <t>No</t>
        </is>
      </c>
      <c r="AS1384">
        <f>HYPERLINK("https://creighton-primo.hosted.exlibrisgroup.com/primo-explore/search?tab=default_tab&amp;search_scope=EVERYTHING&amp;vid=01CRU&amp;lang=en_US&amp;offset=0&amp;query=any,contains,991000791049702656","Catalog Record")</f>
        <v/>
      </c>
      <c r="AT1384">
        <f>HYPERLINK("http://www.worldcat.org/oclc/12656860","WorldCat Record")</f>
        <v/>
      </c>
    </row>
    <row r="1385">
      <c r="A1385" t="inlineStr">
        <is>
          <t>No</t>
        </is>
      </c>
      <c r="B1385" t="inlineStr">
        <is>
          <t>BF 789.D4 M3</t>
        </is>
      </c>
      <c r="C1385" t="inlineStr">
        <is>
          <t>0                      BF 0789000D  4                  M  3</t>
        </is>
      </c>
      <c r="D1385" t="inlineStr">
        <is>
          <t>To die with style!</t>
        </is>
      </c>
      <c r="F1385" t="inlineStr">
        <is>
          <t>No</t>
        </is>
      </c>
      <c r="G1385" t="inlineStr">
        <is>
          <t>1</t>
        </is>
      </c>
      <c r="H1385" t="inlineStr">
        <is>
          <t>No</t>
        </is>
      </c>
      <c r="I1385" t="inlineStr">
        <is>
          <t>No</t>
        </is>
      </c>
      <c r="J1385" t="inlineStr">
        <is>
          <t>0</t>
        </is>
      </c>
      <c r="K1385" t="inlineStr">
        <is>
          <t>McCoy, Marjorie Casebier, 1934-</t>
        </is>
      </c>
      <c r="L1385" t="inlineStr">
        <is>
          <t>Nashville : Abingdon Press, 1974.</t>
        </is>
      </c>
      <c r="M1385" t="inlineStr">
        <is>
          <t>1974</t>
        </is>
      </c>
      <c r="O1385" t="inlineStr">
        <is>
          <t>eng</t>
        </is>
      </c>
      <c r="P1385" t="inlineStr">
        <is>
          <t>tnu</t>
        </is>
      </c>
      <c r="R1385" t="inlineStr">
        <is>
          <t xml:space="preserve">BF </t>
        </is>
      </c>
      <c r="S1385" t="n">
        <v>4</v>
      </c>
      <c r="T1385" t="n">
        <v>4</v>
      </c>
      <c r="U1385" t="inlineStr">
        <is>
          <t>1995-11-16</t>
        </is>
      </c>
      <c r="V1385" t="inlineStr">
        <is>
          <t>1995-11-16</t>
        </is>
      </c>
      <c r="W1385" t="inlineStr">
        <is>
          <t>1987-09-03</t>
        </is>
      </c>
      <c r="X1385" t="inlineStr">
        <is>
          <t>1987-09-03</t>
        </is>
      </c>
      <c r="Y1385" t="n">
        <v>336</v>
      </c>
      <c r="Z1385" t="n">
        <v>308</v>
      </c>
      <c r="AA1385" t="n">
        <v>308</v>
      </c>
      <c r="AB1385" t="n">
        <v>5</v>
      </c>
      <c r="AC1385" t="n">
        <v>5</v>
      </c>
      <c r="AD1385" t="n">
        <v>14</v>
      </c>
      <c r="AE1385" t="n">
        <v>14</v>
      </c>
      <c r="AF1385" t="n">
        <v>7</v>
      </c>
      <c r="AG1385" t="n">
        <v>7</v>
      </c>
      <c r="AH1385" t="n">
        <v>4</v>
      </c>
      <c r="AI1385" t="n">
        <v>4</v>
      </c>
      <c r="AJ1385" t="n">
        <v>6</v>
      </c>
      <c r="AK1385" t="n">
        <v>6</v>
      </c>
      <c r="AL1385" t="n">
        <v>3</v>
      </c>
      <c r="AM1385" t="n">
        <v>3</v>
      </c>
      <c r="AN1385" t="n">
        <v>0</v>
      </c>
      <c r="AO1385" t="n">
        <v>0</v>
      </c>
      <c r="AP1385" t="inlineStr">
        <is>
          <t>No</t>
        </is>
      </c>
      <c r="AQ1385" t="inlineStr">
        <is>
          <t>No</t>
        </is>
      </c>
      <c r="AS1385">
        <f>HYPERLINK("https://creighton-primo.hosted.exlibrisgroup.com/primo-explore/search?tab=default_tab&amp;search_scope=EVERYTHING&amp;vid=01CRU&amp;lang=en_US&amp;offset=0&amp;query=any,contains,991000790969702656","Catalog Record")</f>
        <v/>
      </c>
      <c r="AT1385">
        <f>HYPERLINK("http://www.worldcat.org/oclc/922896","WorldCat Record")</f>
        <v/>
      </c>
    </row>
    <row r="1386">
      <c r="A1386" t="inlineStr">
        <is>
          <t>No</t>
        </is>
      </c>
      <c r="B1386" t="inlineStr">
        <is>
          <t>BF 789.D4 P856t 1981</t>
        </is>
      </c>
      <c r="C1386" t="inlineStr">
        <is>
          <t>0                      BF 0789000D  4                  P  856t        1981</t>
        </is>
      </c>
      <c r="D1386" t="inlineStr">
        <is>
          <t>Towards death with dignity : caring for dying people / Sylvia Poss.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Poss, Sylvia.</t>
        </is>
      </c>
      <c r="L1386" t="inlineStr">
        <is>
          <t>London ; Boston : Allen &amp; Unwin, c1981.</t>
        </is>
      </c>
      <c r="M1386" t="inlineStr">
        <is>
          <t>1981</t>
        </is>
      </c>
      <c r="O1386" t="inlineStr">
        <is>
          <t>eng</t>
        </is>
      </c>
      <c r="P1386" t="inlineStr">
        <is>
          <t>enk</t>
        </is>
      </c>
      <c r="Q1386" t="inlineStr">
        <is>
          <t>National Institute social services library ; no. 41</t>
        </is>
      </c>
      <c r="R1386" t="inlineStr">
        <is>
          <t xml:space="preserve">BF </t>
        </is>
      </c>
      <c r="S1386" t="n">
        <v>3</v>
      </c>
      <c r="T1386" t="n">
        <v>3</v>
      </c>
      <c r="U1386" t="inlineStr">
        <is>
          <t>1999-03-04</t>
        </is>
      </c>
      <c r="V1386" t="inlineStr">
        <is>
          <t>1999-03-04</t>
        </is>
      </c>
      <c r="W1386" t="inlineStr">
        <is>
          <t>1987-09-03</t>
        </is>
      </c>
      <c r="X1386" t="inlineStr">
        <is>
          <t>1987-09-03</t>
        </is>
      </c>
      <c r="Y1386" t="n">
        <v>289</v>
      </c>
      <c r="Z1386" t="n">
        <v>141</v>
      </c>
      <c r="AA1386" t="n">
        <v>147</v>
      </c>
      <c r="AB1386" t="n">
        <v>1</v>
      </c>
      <c r="AC1386" t="n">
        <v>1</v>
      </c>
      <c r="AD1386" t="n">
        <v>4</v>
      </c>
      <c r="AE1386" t="n">
        <v>4</v>
      </c>
      <c r="AF1386" t="n">
        <v>1</v>
      </c>
      <c r="AG1386" t="n">
        <v>1</v>
      </c>
      <c r="AH1386" t="n">
        <v>3</v>
      </c>
      <c r="AI1386" t="n">
        <v>3</v>
      </c>
      <c r="AJ1386" t="n">
        <v>2</v>
      </c>
      <c r="AK1386" t="n">
        <v>2</v>
      </c>
      <c r="AL1386" t="n">
        <v>0</v>
      </c>
      <c r="AM1386" t="n">
        <v>0</v>
      </c>
      <c r="AN1386" t="n">
        <v>0</v>
      </c>
      <c r="AO1386" t="n">
        <v>0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HYPERLINK("https://creighton-primo.hosted.exlibrisgroup.com/primo-explore/search?tab=default_tab&amp;search_scope=EVERYTHING&amp;vid=01CRU&amp;lang=en_US&amp;offset=0&amp;query=any,contains,991000790929702656","Catalog Record")</f>
        <v/>
      </c>
      <c r="AT1386">
        <f>HYPERLINK("http://www.worldcat.org/oclc/8284271","WorldCat Record")</f>
        <v/>
      </c>
    </row>
    <row r="1387">
      <c r="A1387" t="inlineStr">
        <is>
          <t>No</t>
        </is>
      </c>
      <c r="B1387" t="inlineStr">
        <is>
          <t>BF 789.D4 PE466c 1980</t>
        </is>
      </c>
      <c r="C1387" t="inlineStr">
        <is>
          <t>0                      BF 0789000D  4                  PE 466c        1980</t>
        </is>
      </c>
      <c r="D1387" t="inlineStr">
        <is>
          <t>Caring relationships : the dying and the bereaved / edited by Richard A. Kalish.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L1387" t="inlineStr">
        <is>
          <t>Farmingdale, N.Y. : Baywood Pub. Co., c1980.</t>
        </is>
      </c>
      <c r="M1387" t="inlineStr">
        <is>
          <t>1980</t>
        </is>
      </c>
      <c r="O1387" t="inlineStr">
        <is>
          <t>eng</t>
        </is>
      </c>
      <c r="P1387" t="inlineStr">
        <is>
          <t>nyu</t>
        </is>
      </c>
      <c r="Q1387" t="inlineStr">
        <is>
          <t>Perspectives on death and dying series ; 2</t>
        </is>
      </c>
      <c r="R1387" t="inlineStr">
        <is>
          <t xml:space="preserve">BF </t>
        </is>
      </c>
      <c r="S1387" t="n">
        <v>1</v>
      </c>
      <c r="T1387" t="n">
        <v>1</v>
      </c>
      <c r="U1387" t="inlineStr">
        <is>
          <t>1998-01-30</t>
        </is>
      </c>
      <c r="V1387" t="inlineStr">
        <is>
          <t>1998-01-30</t>
        </is>
      </c>
      <c r="W1387" t="inlineStr">
        <is>
          <t>1987-09-03</t>
        </is>
      </c>
      <c r="X1387" t="inlineStr">
        <is>
          <t>1987-09-03</t>
        </is>
      </c>
      <c r="Y1387" t="n">
        <v>402</v>
      </c>
      <c r="Z1387" t="n">
        <v>339</v>
      </c>
      <c r="AA1387" t="n">
        <v>363</v>
      </c>
      <c r="AB1387" t="n">
        <v>2</v>
      </c>
      <c r="AC1387" t="n">
        <v>3</v>
      </c>
      <c r="AD1387" t="n">
        <v>14</v>
      </c>
      <c r="AE1387" t="n">
        <v>17</v>
      </c>
      <c r="AF1387" t="n">
        <v>6</v>
      </c>
      <c r="AG1387" t="n">
        <v>7</v>
      </c>
      <c r="AH1387" t="n">
        <v>4</v>
      </c>
      <c r="AI1387" t="n">
        <v>5</v>
      </c>
      <c r="AJ1387" t="n">
        <v>8</v>
      </c>
      <c r="AK1387" t="n">
        <v>8</v>
      </c>
      <c r="AL1387" t="n">
        <v>1</v>
      </c>
      <c r="AM1387" t="n">
        <v>2</v>
      </c>
      <c r="AN1387" t="n">
        <v>0</v>
      </c>
      <c r="AO1387" t="n">
        <v>0</v>
      </c>
      <c r="AP1387" t="inlineStr">
        <is>
          <t>No</t>
        </is>
      </c>
      <c r="AQ1387" t="inlineStr">
        <is>
          <t>Yes</t>
        </is>
      </c>
      <c r="AR1387">
        <f>HYPERLINK("http://catalog.hathitrust.org/Record/000112040","HathiTrust Record")</f>
        <v/>
      </c>
      <c r="AS1387">
        <f>HYPERLINK("https://creighton-primo.hosted.exlibrisgroup.com/primo-explore/search?tab=default_tab&amp;search_scope=EVERYTHING&amp;vid=01CRU&amp;lang=en_US&amp;offset=0&amp;query=any,contains,991000790819702656","Catalog Record")</f>
        <v/>
      </c>
      <c r="AT1387">
        <f>HYPERLINK("http://www.worldcat.org/oclc/4884766","WorldCat Record")</f>
        <v/>
      </c>
    </row>
    <row r="1388">
      <c r="A1388" t="inlineStr">
        <is>
          <t>No</t>
        </is>
      </c>
      <c r="B1388" t="inlineStr">
        <is>
          <t>BF 789.D4 S631a 1985</t>
        </is>
      </c>
      <c r="C1388" t="inlineStr">
        <is>
          <t>0                      BF 0789000D  4                  S  631a        1985</t>
        </is>
      </c>
      <c r="D1388" t="inlineStr">
        <is>
          <t>Adapting to life-threatening illness / Andrew Edmund Slaby, Arvin Sigmund Glicksman.</t>
        </is>
      </c>
      <c r="F1388" t="inlineStr">
        <is>
          <t>No</t>
        </is>
      </c>
      <c r="G1388" t="inlineStr">
        <is>
          <t>1</t>
        </is>
      </c>
      <c r="H1388" t="inlineStr">
        <is>
          <t>No</t>
        </is>
      </c>
      <c r="I1388" t="inlineStr">
        <is>
          <t>No</t>
        </is>
      </c>
      <c r="J1388" t="inlineStr">
        <is>
          <t>0</t>
        </is>
      </c>
      <c r="K1388" t="inlineStr">
        <is>
          <t>Slaby, Andrew Edmund.</t>
        </is>
      </c>
      <c r="L1388" t="inlineStr">
        <is>
          <t>New York : Praeger, 1985.</t>
        </is>
      </c>
      <c r="M1388" t="inlineStr">
        <is>
          <t>1985</t>
        </is>
      </c>
      <c r="O1388" t="inlineStr">
        <is>
          <t>eng</t>
        </is>
      </c>
      <c r="P1388" t="inlineStr">
        <is>
          <t>xxu</t>
        </is>
      </c>
      <c r="R1388" t="inlineStr">
        <is>
          <t xml:space="preserve">BF </t>
        </is>
      </c>
      <c r="S1388" t="n">
        <v>1</v>
      </c>
      <c r="T1388" t="n">
        <v>1</v>
      </c>
      <c r="U1388" t="inlineStr">
        <is>
          <t>1998-05-20</t>
        </is>
      </c>
      <c r="V1388" t="inlineStr">
        <is>
          <t>1998-05-20</t>
        </is>
      </c>
      <c r="W1388" t="inlineStr">
        <is>
          <t>1988-12-14</t>
        </is>
      </c>
      <c r="X1388" t="inlineStr">
        <is>
          <t>1988-12-14</t>
        </is>
      </c>
      <c r="Y1388" t="n">
        <v>423</v>
      </c>
      <c r="Z1388" t="n">
        <v>377</v>
      </c>
      <c r="AA1388" t="n">
        <v>379</v>
      </c>
      <c r="AB1388" t="n">
        <v>2</v>
      </c>
      <c r="AC1388" t="n">
        <v>2</v>
      </c>
      <c r="AD1388" t="n">
        <v>14</v>
      </c>
      <c r="AE1388" t="n">
        <v>14</v>
      </c>
      <c r="AF1388" t="n">
        <v>5</v>
      </c>
      <c r="AG1388" t="n">
        <v>5</v>
      </c>
      <c r="AH1388" t="n">
        <v>4</v>
      </c>
      <c r="AI1388" t="n">
        <v>4</v>
      </c>
      <c r="AJ1388" t="n">
        <v>7</v>
      </c>
      <c r="AK1388" t="n">
        <v>7</v>
      </c>
      <c r="AL1388" t="n">
        <v>1</v>
      </c>
      <c r="AM1388" t="n">
        <v>1</v>
      </c>
      <c r="AN1388" t="n">
        <v>0</v>
      </c>
      <c r="AO1388" t="n">
        <v>0</v>
      </c>
      <c r="AP1388" t="inlineStr">
        <is>
          <t>Yes</t>
        </is>
      </c>
      <c r="AQ1388" t="inlineStr">
        <is>
          <t>No</t>
        </is>
      </c>
      <c r="AR1388">
        <f>HYPERLINK("http://catalog.hathitrust.org/Record/000653217","HathiTrust Record")</f>
        <v/>
      </c>
      <c r="AS1388">
        <f>HYPERLINK("https://creighton-primo.hosted.exlibrisgroup.com/primo-explore/search?tab=default_tab&amp;search_scope=EVERYTHING&amp;vid=01CRU&amp;lang=en_US&amp;offset=0&amp;query=any,contains,991000773849702656","Catalog Record")</f>
        <v/>
      </c>
      <c r="AT1388">
        <f>HYPERLINK("http://www.worldcat.org/oclc/11972576","WorldCat Record")</f>
        <v/>
      </c>
    </row>
    <row r="1389">
      <c r="A1389" t="inlineStr">
        <is>
          <t>No</t>
        </is>
      </c>
      <c r="B1389" t="inlineStr">
        <is>
          <t>BF 789.D4 S663d 1985</t>
        </is>
      </c>
      <c r="C1389" t="inlineStr">
        <is>
          <t>0                      BF 0789000D  4                  S  663d        1985</t>
        </is>
      </c>
      <c r="D1389" t="inlineStr">
        <is>
          <t>Dying in the human life cycle : psychological, biomedical, and social perspectives / Walter J. Smith.</t>
        </is>
      </c>
      <c r="F1389" t="inlineStr">
        <is>
          <t>No</t>
        </is>
      </c>
      <c r="G1389" t="inlineStr">
        <is>
          <t>1</t>
        </is>
      </c>
      <c r="H1389" t="inlineStr">
        <is>
          <t>Yes</t>
        </is>
      </c>
      <c r="I1389" t="inlineStr">
        <is>
          <t>No</t>
        </is>
      </c>
      <c r="J1389" t="inlineStr">
        <is>
          <t>0</t>
        </is>
      </c>
      <c r="K1389" t="inlineStr">
        <is>
          <t>Smith, Walter J.</t>
        </is>
      </c>
      <c r="L1389" t="inlineStr">
        <is>
          <t>New York : Holt, Rinehart and Winston, c1985.</t>
        </is>
      </c>
      <c r="M1389" t="inlineStr">
        <is>
          <t>1985</t>
        </is>
      </c>
      <c r="O1389" t="inlineStr">
        <is>
          <t>eng</t>
        </is>
      </c>
      <c r="P1389" t="inlineStr">
        <is>
          <t>xxu</t>
        </is>
      </c>
      <c r="R1389" t="inlineStr">
        <is>
          <t xml:space="preserve">BF </t>
        </is>
      </c>
      <c r="S1389" t="n">
        <v>3</v>
      </c>
      <c r="T1389" t="n">
        <v>3</v>
      </c>
      <c r="U1389" t="inlineStr">
        <is>
          <t>1999-09-05</t>
        </is>
      </c>
      <c r="V1389" t="inlineStr">
        <is>
          <t>1999-09-05</t>
        </is>
      </c>
      <c r="W1389" t="inlineStr">
        <is>
          <t>1987-09-03</t>
        </is>
      </c>
      <c r="X1389" t="inlineStr">
        <is>
          <t>1987-09-03</t>
        </is>
      </c>
      <c r="Y1389" t="n">
        <v>348</v>
      </c>
      <c r="Z1389" t="n">
        <v>288</v>
      </c>
      <c r="AA1389" t="n">
        <v>290</v>
      </c>
      <c r="AB1389" t="n">
        <v>5</v>
      </c>
      <c r="AC1389" t="n">
        <v>5</v>
      </c>
      <c r="AD1389" t="n">
        <v>14</v>
      </c>
      <c r="AE1389" t="n">
        <v>14</v>
      </c>
      <c r="AF1389" t="n">
        <v>5</v>
      </c>
      <c r="AG1389" t="n">
        <v>5</v>
      </c>
      <c r="AH1389" t="n">
        <v>3</v>
      </c>
      <c r="AI1389" t="n">
        <v>3</v>
      </c>
      <c r="AJ1389" t="n">
        <v>11</v>
      </c>
      <c r="AK1389" t="n">
        <v>11</v>
      </c>
      <c r="AL1389" t="n">
        <v>2</v>
      </c>
      <c r="AM1389" t="n">
        <v>2</v>
      </c>
      <c r="AN1389" t="n">
        <v>0</v>
      </c>
      <c r="AO1389" t="n">
        <v>0</v>
      </c>
      <c r="AP1389" t="inlineStr">
        <is>
          <t>No</t>
        </is>
      </c>
      <c r="AQ1389" t="inlineStr">
        <is>
          <t>Yes</t>
        </is>
      </c>
      <c r="AR1389">
        <f>HYPERLINK("http://catalog.hathitrust.org/Record/000616176","HathiTrust Record")</f>
        <v/>
      </c>
      <c r="AS1389">
        <f>HYPERLINK("https://creighton-primo.hosted.exlibrisgroup.com/primo-explore/search?tab=default_tab&amp;search_scope=EVERYTHING&amp;vid=01CRU&amp;lang=en_US&amp;offset=0&amp;query=any,contains,991000790569702656","Catalog Record")</f>
        <v/>
      </c>
      <c r="AT1389">
        <f>HYPERLINK("http://www.worldcat.org/oclc/11867244","WorldCat Record")</f>
        <v/>
      </c>
    </row>
    <row r="1390">
      <c r="A1390" t="inlineStr">
        <is>
          <t>No</t>
        </is>
      </c>
      <c r="B1390" t="inlineStr">
        <is>
          <t>BF 789.D4 T378c 1981</t>
        </is>
      </c>
      <c r="C1390" t="inlineStr">
        <is>
          <t>0                      BF 0789000D  4                  T  378c        1981</t>
        </is>
      </c>
      <c r="D1390" t="inlineStr">
        <is>
          <t>A cross-cultural study of death anxiety and religious belief / by John Kuriako Thekkedam.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K1390" t="inlineStr">
        <is>
          <t>Thekkedam, John Kuriako, 1940-</t>
        </is>
      </c>
      <c r="M1390" t="inlineStr">
        <is>
          <t>1986</t>
        </is>
      </c>
      <c r="O1390" t="inlineStr">
        <is>
          <t>eng</t>
        </is>
      </c>
      <c r="P1390" t="inlineStr">
        <is>
          <t>miu</t>
        </is>
      </c>
      <c r="R1390" t="inlineStr">
        <is>
          <t xml:space="preserve">BF </t>
        </is>
      </c>
      <c r="S1390" t="n">
        <v>6</v>
      </c>
      <c r="T1390" t="n">
        <v>6</v>
      </c>
      <c r="U1390" t="inlineStr">
        <is>
          <t>2010-01-22</t>
        </is>
      </c>
      <c r="V1390" t="inlineStr">
        <is>
          <t>2010-01-22</t>
        </is>
      </c>
      <c r="W1390" t="inlineStr">
        <is>
          <t>1989-03-28</t>
        </is>
      </c>
      <c r="X1390" t="inlineStr">
        <is>
          <t>1989-03-28</t>
        </is>
      </c>
      <c r="Y1390" t="n">
        <v>1</v>
      </c>
      <c r="Z1390" t="n">
        <v>1</v>
      </c>
      <c r="AA1390" t="n">
        <v>1</v>
      </c>
      <c r="AB1390" t="n">
        <v>1</v>
      </c>
      <c r="AC1390" t="n">
        <v>1</v>
      </c>
      <c r="AD1390" t="n">
        <v>0</v>
      </c>
      <c r="AE1390" t="n">
        <v>0</v>
      </c>
      <c r="AF1390" t="n">
        <v>0</v>
      </c>
      <c r="AG1390" t="n">
        <v>0</v>
      </c>
      <c r="AH1390" t="n">
        <v>0</v>
      </c>
      <c r="AI1390" t="n">
        <v>0</v>
      </c>
      <c r="AJ1390" t="n">
        <v>0</v>
      </c>
      <c r="AK1390" t="n">
        <v>0</v>
      </c>
      <c r="AL1390" t="n">
        <v>0</v>
      </c>
      <c r="AM1390" t="n">
        <v>0</v>
      </c>
      <c r="AN1390" t="n">
        <v>0</v>
      </c>
      <c r="AO1390" t="n">
        <v>0</v>
      </c>
      <c r="AP1390" t="inlineStr">
        <is>
          <t>No</t>
        </is>
      </c>
      <c r="AQ1390" t="inlineStr">
        <is>
          <t>No</t>
        </is>
      </c>
      <c r="AS1390">
        <f>HYPERLINK("https://creighton-primo.hosted.exlibrisgroup.com/primo-explore/search?tab=default_tab&amp;search_scope=EVERYTHING&amp;vid=01CRU&amp;lang=en_US&amp;offset=0&amp;query=any,contains,991001243059702656","Catalog Record")</f>
        <v/>
      </c>
      <c r="AT1390">
        <f>HYPERLINK("http://www.worldcat.org/oclc/18215434","WorldCat Record")</f>
        <v/>
      </c>
    </row>
    <row r="1391">
      <c r="A1391" t="inlineStr">
        <is>
          <t>No</t>
        </is>
      </c>
      <c r="B1391" t="inlineStr">
        <is>
          <t>BF 789.D4 V218c 1987</t>
        </is>
      </c>
      <c r="C1391" t="inlineStr">
        <is>
          <t>0                      BF 0789000D  4                  V  218c        1987</t>
        </is>
      </c>
      <c r="D1391" t="inlineStr">
        <is>
          <t>Choices : for people who have a terminal illness, their families, and their caregivers / Harry Van Bommel.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Van Bommel, Harry.</t>
        </is>
      </c>
      <c r="L1391" t="inlineStr">
        <is>
          <t>Toronto : NC Press ; Port Washington, N.Y. : Distributed in the U.S.A. by Independent Publishers Group, c1987.</t>
        </is>
      </c>
      <c r="M1391" t="inlineStr">
        <is>
          <t>1987</t>
        </is>
      </c>
      <c r="N1391" t="inlineStr">
        <is>
          <t>2nd rev. ed.</t>
        </is>
      </c>
      <c r="O1391" t="inlineStr">
        <is>
          <t>eng</t>
        </is>
      </c>
      <c r="P1391" t="inlineStr">
        <is>
          <t>onc</t>
        </is>
      </c>
      <c r="R1391" t="inlineStr">
        <is>
          <t xml:space="preserve">BF </t>
        </is>
      </c>
      <c r="S1391" t="n">
        <v>7</v>
      </c>
      <c r="T1391" t="n">
        <v>7</v>
      </c>
      <c r="U1391" t="inlineStr">
        <is>
          <t>1995-04-08</t>
        </is>
      </c>
      <c r="V1391" t="inlineStr">
        <is>
          <t>1995-04-08</t>
        </is>
      </c>
      <c r="W1391" t="inlineStr">
        <is>
          <t>1988-04-20</t>
        </is>
      </c>
      <c r="X1391" t="inlineStr">
        <is>
          <t>1988-04-20</t>
        </is>
      </c>
      <c r="Y1391" t="n">
        <v>40</v>
      </c>
      <c r="Z1391" t="n">
        <v>17</v>
      </c>
      <c r="AA1391" t="n">
        <v>79</v>
      </c>
      <c r="AB1391" t="n">
        <v>1</v>
      </c>
      <c r="AC1391" t="n">
        <v>1</v>
      </c>
      <c r="AD1391" t="n">
        <v>0</v>
      </c>
      <c r="AE1391" t="n">
        <v>0</v>
      </c>
      <c r="AF1391" t="n">
        <v>0</v>
      </c>
      <c r="AG1391" t="n">
        <v>0</v>
      </c>
      <c r="AH1391" t="n">
        <v>0</v>
      </c>
      <c r="AI1391" t="n">
        <v>0</v>
      </c>
      <c r="AJ1391" t="n">
        <v>0</v>
      </c>
      <c r="AK1391" t="n">
        <v>0</v>
      </c>
      <c r="AL1391" t="n">
        <v>0</v>
      </c>
      <c r="AM1391" t="n">
        <v>0</v>
      </c>
      <c r="AN1391" t="n">
        <v>0</v>
      </c>
      <c r="AO1391" t="n">
        <v>0</v>
      </c>
      <c r="AP1391" t="inlineStr">
        <is>
          <t>No</t>
        </is>
      </c>
      <c r="AQ1391" t="inlineStr">
        <is>
          <t>No</t>
        </is>
      </c>
      <c r="AS1391">
        <f>HYPERLINK("https://creighton-primo.hosted.exlibrisgroup.com/primo-explore/search?tab=default_tab&amp;search_scope=EVERYTHING&amp;vid=01CRU&amp;lang=en_US&amp;offset=0&amp;query=any,contains,991001186579702656","Catalog Record")</f>
        <v/>
      </c>
      <c r="AT1391">
        <f>HYPERLINK("http://www.worldcat.org/oclc/18383216","WorldCat Record")</f>
        <v/>
      </c>
    </row>
    <row r="1392">
      <c r="A1392" t="inlineStr">
        <is>
          <t>No</t>
        </is>
      </c>
      <c r="B1392" t="inlineStr">
        <is>
          <t>BF 789.S8 S795h 1992</t>
        </is>
      </c>
      <c r="C1392" t="inlineStr">
        <is>
          <t>0                      BF 0789000S  8                  S  795h        1992</t>
        </is>
      </c>
      <c r="D1392" t="inlineStr">
        <is>
          <t>The hidden dimension of illness : human suffering / Patricia L. Starck and John P. McGovern, editors.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Starck, Patricia L.</t>
        </is>
      </c>
      <c r="L1392" t="inlineStr">
        <is>
          <t>New York : National League for Nursing; c1992.</t>
        </is>
      </c>
      <c r="M1392" t="inlineStr">
        <is>
          <t>1992</t>
        </is>
      </c>
      <c r="O1392" t="inlineStr">
        <is>
          <t>eng</t>
        </is>
      </c>
      <c r="P1392" t="inlineStr">
        <is>
          <t>nyu</t>
        </is>
      </c>
      <c r="Q1392" t="inlineStr">
        <is>
          <t>NLN pub. no. 15-2461.</t>
        </is>
      </c>
      <c r="R1392" t="inlineStr">
        <is>
          <t xml:space="preserve">BF </t>
        </is>
      </c>
      <c r="S1392" t="n">
        <v>2</v>
      </c>
      <c r="T1392" t="n">
        <v>2</v>
      </c>
      <c r="U1392" t="inlineStr">
        <is>
          <t>2007-11-30</t>
        </is>
      </c>
      <c r="V1392" t="inlineStr">
        <is>
          <t>2007-11-30</t>
        </is>
      </c>
      <c r="W1392" t="inlineStr">
        <is>
          <t>2000-06-15</t>
        </is>
      </c>
      <c r="X1392" t="inlineStr">
        <is>
          <t>2000-06-15</t>
        </is>
      </c>
      <c r="Y1392" t="n">
        <v>486</v>
      </c>
      <c r="Z1392" t="n">
        <v>426</v>
      </c>
      <c r="AA1392" t="n">
        <v>428</v>
      </c>
      <c r="AB1392" t="n">
        <v>4</v>
      </c>
      <c r="AC1392" t="n">
        <v>4</v>
      </c>
      <c r="AD1392" t="n">
        <v>22</v>
      </c>
      <c r="AE1392" t="n">
        <v>22</v>
      </c>
      <c r="AF1392" t="n">
        <v>8</v>
      </c>
      <c r="AG1392" t="n">
        <v>8</v>
      </c>
      <c r="AH1392" t="n">
        <v>4</v>
      </c>
      <c r="AI1392" t="n">
        <v>4</v>
      </c>
      <c r="AJ1392" t="n">
        <v>12</v>
      </c>
      <c r="AK1392" t="n">
        <v>12</v>
      </c>
      <c r="AL1392" t="n">
        <v>2</v>
      </c>
      <c r="AM1392" t="n">
        <v>2</v>
      </c>
      <c r="AN1392" t="n">
        <v>0</v>
      </c>
      <c r="AO1392" t="n">
        <v>0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HYPERLINK("http://catalog.hathitrust.org/Record/002635504","HathiTrust Record")</f>
        <v/>
      </c>
      <c r="AS1392">
        <f>HYPERLINK("https://creighton-primo.hosted.exlibrisgroup.com/primo-explore/search?tab=default_tab&amp;search_scope=EVERYTHING&amp;vid=01CRU&amp;lang=en_US&amp;offset=0&amp;query=any,contains,991000234229702656","Catalog Record")</f>
        <v/>
      </c>
      <c r="AT1392">
        <f>HYPERLINK("http://www.worldcat.org/oclc/25784207","WorldCat Record")</f>
        <v/>
      </c>
    </row>
    <row r="1393">
      <c r="A1393" t="inlineStr">
        <is>
          <t>No</t>
        </is>
      </c>
      <c r="B1393" t="inlineStr">
        <is>
          <t>BF 798 C542t 1986</t>
        </is>
      </c>
      <c r="C1393" t="inlineStr">
        <is>
          <t>0                      BF 0798000C  542t        1986</t>
        </is>
      </c>
      <c r="D1393" t="inlineStr">
        <is>
          <t>Temperament in clinical practice / Stella Chess and Alexander Thomas.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K1393" t="inlineStr">
        <is>
          <t>Chess, Stella.</t>
        </is>
      </c>
      <c r="L1393" t="inlineStr">
        <is>
          <t>New York : Guilford Press, 1986.</t>
        </is>
      </c>
      <c r="M1393" t="inlineStr">
        <is>
          <t>1986</t>
        </is>
      </c>
      <c r="O1393" t="inlineStr">
        <is>
          <t>eng</t>
        </is>
      </c>
      <c r="P1393" t="inlineStr">
        <is>
          <t>xxu</t>
        </is>
      </c>
      <c r="R1393" t="inlineStr">
        <is>
          <t xml:space="preserve">BF </t>
        </is>
      </c>
      <c r="S1393" t="n">
        <v>2</v>
      </c>
      <c r="T1393" t="n">
        <v>2</v>
      </c>
      <c r="U1393" t="inlineStr">
        <is>
          <t>1999-01-27</t>
        </is>
      </c>
      <c r="V1393" t="inlineStr">
        <is>
          <t>1999-01-27</t>
        </is>
      </c>
      <c r="W1393" t="inlineStr">
        <is>
          <t>1987-09-03</t>
        </is>
      </c>
      <c r="X1393" t="inlineStr">
        <is>
          <t>1987-09-03</t>
        </is>
      </c>
      <c r="Y1393" t="n">
        <v>402</v>
      </c>
      <c r="Z1393" t="n">
        <v>347</v>
      </c>
      <c r="AA1393" t="n">
        <v>363</v>
      </c>
      <c r="AB1393" t="n">
        <v>2</v>
      </c>
      <c r="AC1393" t="n">
        <v>2</v>
      </c>
      <c r="AD1393" t="n">
        <v>19</v>
      </c>
      <c r="AE1393" t="n">
        <v>20</v>
      </c>
      <c r="AF1393" t="n">
        <v>7</v>
      </c>
      <c r="AG1393" t="n">
        <v>8</v>
      </c>
      <c r="AH1393" t="n">
        <v>5</v>
      </c>
      <c r="AI1393" t="n">
        <v>5</v>
      </c>
      <c r="AJ1393" t="n">
        <v>10</v>
      </c>
      <c r="AK1393" t="n">
        <v>10</v>
      </c>
      <c r="AL1393" t="n">
        <v>1</v>
      </c>
      <c r="AM1393" t="n">
        <v>1</v>
      </c>
      <c r="AN1393" t="n">
        <v>0</v>
      </c>
      <c r="AO1393" t="n">
        <v>0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HYPERLINK("https://creighton-primo.hosted.exlibrisgroup.com/primo-explore/search?tab=default_tab&amp;search_scope=EVERYTHING&amp;vid=01CRU&amp;lang=en_US&amp;offset=0&amp;query=any,contains,991000790429702656","Catalog Record")</f>
        <v/>
      </c>
      <c r="AT1393">
        <f>HYPERLINK("http://www.worldcat.org/oclc/12421861","WorldCat Record")</f>
        <v/>
      </c>
    </row>
    <row r="1394">
      <c r="A1394" t="inlineStr">
        <is>
          <t>No</t>
        </is>
      </c>
      <c r="B1394" t="inlineStr">
        <is>
          <t>BF 81 H6731 2009</t>
        </is>
      </c>
      <c r="C1394" t="inlineStr">
        <is>
          <t>0                      BF 0081000H  6731        2009</t>
        </is>
      </c>
      <c r="D1394" t="inlineStr">
        <is>
          <t>A History of psychology : original sources and contemporary research / edited by Ludy T. Benjamin, Jr.</t>
        </is>
      </c>
      <c r="F1394" t="inlineStr">
        <is>
          <t>No</t>
        </is>
      </c>
      <c r="G1394" t="inlineStr">
        <is>
          <t>1</t>
        </is>
      </c>
      <c r="H1394" t="inlineStr">
        <is>
          <t>No</t>
        </is>
      </c>
      <c r="I1394" t="inlineStr">
        <is>
          <t>No</t>
        </is>
      </c>
      <c r="J1394" t="inlineStr">
        <is>
          <t>0</t>
        </is>
      </c>
      <c r="L1394" t="inlineStr">
        <is>
          <t>Malden, MA ; Oxford : Blackwell Pub., 2009.</t>
        </is>
      </c>
      <c r="M1394" t="inlineStr">
        <is>
          <t>2009</t>
        </is>
      </c>
      <c r="N1394" t="inlineStr">
        <is>
          <t>3rd ed.</t>
        </is>
      </c>
      <c r="O1394" t="inlineStr">
        <is>
          <t>eng</t>
        </is>
      </c>
      <c r="P1394" t="inlineStr">
        <is>
          <t>mau</t>
        </is>
      </c>
      <c r="R1394" t="inlineStr">
        <is>
          <t xml:space="preserve">BF </t>
        </is>
      </c>
      <c r="S1394" t="n">
        <v>0</v>
      </c>
      <c r="T1394" t="n">
        <v>0</v>
      </c>
      <c r="U1394" t="inlineStr">
        <is>
          <t>2009-07-01</t>
        </is>
      </c>
      <c r="V1394" t="inlineStr">
        <is>
          <t>2009-07-01</t>
        </is>
      </c>
      <c r="W1394" t="inlineStr">
        <is>
          <t>2009-06-30</t>
        </is>
      </c>
      <c r="X1394" t="inlineStr">
        <is>
          <t>2009-06-30</t>
        </is>
      </c>
      <c r="Y1394" t="n">
        <v>244</v>
      </c>
      <c r="Z1394" t="n">
        <v>159</v>
      </c>
      <c r="AA1394" t="n">
        <v>495</v>
      </c>
      <c r="AB1394" t="n">
        <v>3</v>
      </c>
      <c r="AC1394" t="n">
        <v>6</v>
      </c>
      <c r="AD1394" t="n">
        <v>9</v>
      </c>
      <c r="AE1394" t="n">
        <v>27</v>
      </c>
      <c r="AF1394" t="n">
        <v>1</v>
      </c>
      <c r="AG1394" t="n">
        <v>8</v>
      </c>
      <c r="AH1394" t="n">
        <v>2</v>
      </c>
      <c r="AI1394" t="n">
        <v>4</v>
      </c>
      <c r="AJ1394" t="n">
        <v>6</v>
      </c>
      <c r="AK1394" t="n">
        <v>16</v>
      </c>
      <c r="AL1394" t="n">
        <v>2</v>
      </c>
      <c r="AM1394" t="n">
        <v>5</v>
      </c>
      <c r="AN1394" t="n">
        <v>0</v>
      </c>
      <c r="AO1394" t="n">
        <v>0</v>
      </c>
      <c r="AP1394" t="inlineStr">
        <is>
          <t>No</t>
        </is>
      </c>
      <c r="AQ1394" t="inlineStr">
        <is>
          <t>No</t>
        </is>
      </c>
      <c r="AS1394">
        <f>HYPERLINK("https://creighton-primo.hosted.exlibrisgroup.com/primo-explore/search?tab=default_tab&amp;search_scope=EVERYTHING&amp;vid=01CRU&amp;lang=en_US&amp;offset=0&amp;query=any,contains,991001476079702656","Catalog Record")</f>
        <v/>
      </c>
      <c r="AT1394">
        <f>HYPERLINK("http://www.worldcat.org/oclc/191763341","WorldCat Record")</f>
        <v/>
      </c>
    </row>
    <row r="1395">
      <c r="A1395" t="inlineStr">
        <is>
          <t>No</t>
        </is>
      </c>
      <c r="B1395" t="inlineStr">
        <is>
          <t>BF 95 M978h 1972</t>
        </is>
      </c>
      <c r="C1395" t="inlineStr">
        <is>
          <t>0                      BF 0095000M  978h        1972</t>
        </is>
      </c>
      <c r="D1395" t="inlineStr">
        <is>
          <t>Historical introduction to modern psychology / Gardner Murphy, Joseph K. Kovach.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Murphy, Gardner, 1895-1979.</t>
        </is>
      </c>
      <c r="L1395" t="inlineStr">
        <is>
          <t>New York : Harcourt Brace Jovanovich, c1972.</t>
        </is>
      </c>
      <c r="M1395" t="inlineStr">
        <is>
          <t>1972</t>
        </is>
      </c>
      <c r="N1395" t="inlineStr">
        <is>
          <t>3rd ed.</t>
        </is>
      </c>
      <c r="O1395" t="inlineStr">
        <is>
          <t>eng</t>
        </is>
      </c>
      <c r="P1395" t="inlineStr">
        <is>
          <t>nyu</t>
        </is>
      </c>
      <c r="R1395" t="inlineStr">
        <is>
          <t xml:space="preserve">BF </t>
        </is>
      </c>
      <c r="S1395" t="n">
        <v>4</v>
      </c>
      <c r="T1395" t="n">
        <v>4</v>
      </c>
      <c r="U1395" t="inlineStr">
        <is>
          <t>1989-06-21</t>
        </is>
      </c>
      <c r="V1395" t="inlineStr">
        <is>
          <t>1989-06-21</t>
        </is>
      </c>
      <c r="W1395" t="inlineStr">
        <is>
          <t>1987-12-28</t>
        </is>
      </c>
      <c r="X1395" t="inlineStr">
        <is>
          <t>1987-12-28</t>
        </is>
      </c>
      <c r="Y1395" t="n">
        <v>598</v>
      </c>
      <c r="Z1395" t="n">
        <v>498</v>
      </c>
      <c r="AA1395" t="n">
        <v>1238</v>
      </c>
      <c r="AB1395" t="n">
        <v>3</v>
      </c>
      <c r="AC1395" t="n">
        <v>9</v>
      </c>
      <c r="AD1395" t="n">
        <v>21</v>
      </c>
      <c r="AE1395" t="n">
        <v>47</v>
      </c>
      <c r="AF1395" t="n">
        <v>5</v>
      </c>
      <c r="AG1395" t="n">
        <v>20</v>
      </c>
      <c r="AH1395" t="n">
        <v>5</v>
      </c>
      <c r="AI1395" t="n">
        <v>9</v>
      </c>
      <c r="AJ1395" t="n">
        <v>14</v>
      </c>
      <c r="AK1395" t="n">
        <v>25</v>
      </c>
      <c r="AL1395" t="n">
        <v>2</v>
      </c>
      <c r="AM1395" t="n">
        <v>6</v>
      </c>
      <c r="AN1395" t="n">
        <v>0</v>
      </c>
      <c r="AO1395" t="n">
        <v>0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HYPERLINK("http://catalog.hathitrust.org/Record/000580967","HathiTrust Record")</f>
        <v/>
      </c>
      <c r="AS1395">
        <f>HYPERLINK("https://creighton-primo.hosted.exlibrisgroup.com/primo-explore/search?tab=default_tab&amp;search_scope=EVERYTHING&amp;vid=01CRU&amp;lang=en_US&amp;offset=0&amp;query=any,contains,991000786719702656","Catalog Record")</f>
        <v/>
      </c>
      <c r="AT1395">
        <f>HYPERLINK("http://www.worldcat.org/oclc/352696","WorldCat Record")</f>
        <v/>
      </c>
    </row>
    <row r="1396">
      <c r="A1396" t="inlineStr">
        <is>
          <t>No</t>
        </is>
      </c>
      <c r="B1396" t="inlineStr">
        <is>
          <t>BF121 .H58</t>
        </is>
      </c>
      <c r="C1396" t="inlineStr">
        <is>
          <t>0                      BF 0121000H  58</t>
        </is>
      </c>
      <c r="D1396" t="inlineStr">
        <is>
          <t>Behavioral science; a selective view [by] Frederick R. Hine, Eric Pfeiffer [and others] Foreword by Ewald W. Busse.</t>
        </is>
      </c>
      <c r="F1396" t="inlineStr">
        <is>
          <t>No</t>
        </is>
      </c>
      <c r="G1396" t="inlineStr">
        <is>
          <t>1</t>
        </is>
      </c>
      <c r="H1396" t="inlineStr">
        <is>
          <t>No</t>
        </is>
      </c>
      <c r="I1396" t="inlineStr">
        <is>
          <t>No</t>
        </is>
      </c>
      <c r="J1396" t="inlineStr">
        <is>
          <t>0</t>
        </is>
      </c>
      <c r="K1396" t="inlineStr">
        <is>
          <t>Hine, Frederick R., 1925-</t>
        </is>
      </c>
      <c r="L1396" t="inlineStr">
        <is>
          <t>Boston, Little, Brown [1972]</t>
        </is>
      </c>
      <c r="M1396" t="inlineStr">
        <is>
          <t>1972</t>
        </is>
      </c>
      <c r="N1396" t="inlineStr">
        <is>
          <t>[1st ed.]</t>
        </is>
      </c>
      <c r="O1396" t="inlineStr">
        <is>
          <t>eng</t>
        </is>
      </c>
      <c r="P1396" t="inlineStr">
        <is>
          <t>mau</t>
        </is>
      </c>
      <c r="R1396" t="inlineStr">
        <is>
          <t xml:space="preserve">BF </t>
        </is>
      </c>
      <c r="S1396" t="n">
        <v>5</v>
      </c>
      <c r="T1396" t="n">
        <v>5</v>
      </c>
      <c r="U1396" t="inlineStr">
        <is>
          <t>2000-12-02</t>
        </is>
      </c>
      <c r="V1396" t="inlineStr">
        <is>
          <t>2000-12-02</t>
        </is>
      </c>
      <c r="W1396" t="inlineStr">
        <is>
          <t>1987-09-11</t>
        </is>
      </c>
      <c r="X1396" t="inlineStr">
        <is>
          <t>1987-09-11</t>
        </is>
      </c>
      <c r="Y1396" t="n">
        <v>236</v>
      </c>
      <c r="Z1396" t="n">
        <v>184</v>
      </c>
      <c r="AA1396" t="n">
        <v>185</v>
      </c>
      <c r="AB1396" t="n">
        <v>2</v>
      </c>
      <c r="AC1396" t="n">
        <v>2</v>
      </c>
      <c r="AD1396" t="n">
        <v>5</v>
      </c>
      <c r="AE1396" t="n">
        <v>5</v>
      </c>
      <c r="AF1396" t="n">
        <v>1</v>
      </c>
      <c r="AG1396" t="n">
        <v>1</v>
      </c>
      <c r="AH1396" t="n">
        <v>2</v>
      </c>
      <c r="AI1396" t="n">
        <v>2</v>
      </c>
      <c r="AJ1396" t="n">
        <v>2</v>
      </c>
      <c r="AK1396" t="n">
        <v>2</v>
      </c>
      <c r="AL1396" t="n">
        <v>1</v>
      </c>
      <c r="AM1396" t="n">
        <v>1</v>
      </c>
      <c r="AN1396" t="n">
        <v>0</v>
      </c>
      <c r="AO1396" t="n">
        <v>0</v>
      </c>
      <c r="AP1396" t="inlineStr">
        <is>
          <t>No</t>
        </is>
      </c>
      <c r="AQ1396" t="inlineStr">
        <is>
          <t>Yes</t>
        </is>
      </c>
      <c r="AR1396">
        <f>HYPERLINK("http://catalog.hathitrust.org/Record/009063337","HathiTrust Record")</f>
        <v/>
      </c>
      <c r="AS1396">
        <f>HYPERLINK("https://creighton-primo.hosted.exlibrisgroup.com/primo-explore/search?tab=default_tab&amp;search_scope=EVERYTHING&amp;vid=01CRU&amp;lang=en_US&amp;offset=0&amp;query=any,contains,991000803219702656","Catalog Record")</f>
        <v/>
      </c>
      <c r="AT1396">
        <f>HYPERLINK("http://www.worldcat.org/oclc/278498","WorldCat Record")</f>
        <v/>
      </c>
    </row>
    <row r="1397">
      <c r="A1397" t="inlineStr">
        <is>
          <t>No</t>
        </is>
      </c>
      <c r="B1397" t="inlineStr">
        <is>
          <t>BF121 C737 1994 V2</t>
        </is>
      </c>
      <c r="C1397" t="inlineStr">
        <is>
          <t>0                      BF 0121000C  737         1994   V  2</t>
        </is>
      </c>
      <c r="D1397" t="inlineStr">
        <is>
          <t>Companion encyclopedia of psychology / edited by Andrew M. Colman.</t>
        </is>
      </c>
      <c r="F1397" t="inlineStr">
        <is>
          <t>Yes</t>
        </is>
      </c>
      <c r="G1397" t="inlineStr">
        <is>
          <t>1</t>
        </is>
      </c>
      <c r="H1397" t="inlineStr">
        <is>
          <t>Yes</t>
        </is>
      </c>
      <c r="I1397" t="inlineStr">
        <is>
          <t>No</t>
        </is>
      </c>
      <c r="J1397" t="inlineStr">
        <is>
          <t>0</t>
        </is>
      </c>
      <c r="L1397" t="inlineStr">
        <is>
          <t>London : Routledge, c1994.</t>
        </is>
      </c>
      <c r="M1397" t="inlineStr">
        <is>
          <t>1994</t>
        </is>
      </c>
      <c r="O1397" t="inlineStr">
        <is>
          <t>eng</t>
        </is>
      </c>
      <c r="P1397" t="inlineStr">
        <is>
          <t>enk</t>
        </is>
      </c>
      <c r="R1397" t="inlineStr">
        <is>
          <t xml:space="preserve">BF </t>
        </is>
      </c>
      <c r="S1397" t="n">
        <v>1</v>
      </c>
      <c r="T1397" t="n">
        <v>3</v>
      </c>
      <c r="U1397" t="inlineStr">
        <is>
          <t>1994-07-13</t>
        </is>
      </c>
      <c r="V1397" t="inlineStr">
        <is>
          <t>1994-07-13</t>
        </is>
      </c>
      <c r="W1397" t="inlineStr">
        <is>
          <t>1994-07-13</t>
        </is>
      </c>
      <c r="X1397" t="inlineStr">
        <is>
          <t>1994-07-13</t>
        </is>
      </c>
      <c r="Y1397" t="n">
        <v>754</v>
      </c>
      <c r="Z1397" t="n">
        <v>552</v>
      </c>
      <c r="AA1397" t="n">
        <v>563</v>
      </c>
      <c r="AB1397" t="n">
        <v>5</v>
      </c>
      <c r="AC1397" t="n">
        <v>5</v>
      </c>
      <c r="AD1397" t="n">
        <v>23</v>
      </c>
      <c r="AE1397" t="n">
        <v>24</v>
      </c>
      <c r="AF1397" t="n">
        <v>5</v>
      </c>
      <c r="AG1397" t="n">
        <v>6</v>
      </c>
      <c r="AH1397" t="n">
        <v>6</v>
      </c>
      <c r="AI1397" t="n">
        <v>6</v>
      </c>
      <c r="AJ1397" t="n">
        <v>14</v>
      </c>
      <c r="AK1397" t="n">
        <v>15</v>
      </c>
      <c r="AL1397" t="n">
        <v>4</v>
      </c>
      <c r="AM1397" t="n">
        <v>4</v>
      </c>
      <c r="AN1397" t="n">
        <v>0</v>
      </c>
      <c r="AO1397" t="n">
        <v>0</v>
      </c>
      <c r="AP1397" t="inlineStr">
        <is>
          <t>No</t>
        </is>
      </c>
      <c r="AQ1397" t="inlineStr">
        <is>
          <t>No</t>
        </is>
      </c>
      <c r="AS1397">
        <f>HYPERLINK("https://creighton-primo.hosted.exlibrisgroup.com/primo-explore/search?tab=default_tab&amp;search_scope=EVERYTHING&amp;vid=01CRU&amp;lang=en_US&amp;offset=0&amp;query=any,contains,991000671639702656","Catalog Record")</f>
        <v/>
      </c>
      <c r="AT1397">
        <f>HYPERLINK("http://www.worldcat.org/oclc/29703951","WorldCat Record")</f>
        <v/>
      </c>
    </row>
    <row r="1398">
      <c r="A1398" t="inlineStr">
        <is>
          <t>No</t>
        </is>
      </c>
      <c r="B1398" t="inlineStr">
        <is>
          <t>BF173 .F6173 1946</t>
        </is>
      </c>
      <c r="C1398" t="inlineStr">
        <is>
          <t>0                      BF 0173000F  6173        1946</t>
        </is>
      </c>
      <c r="D1398" t="inlineStr">
        <is>
          <t>The ego and the mechanisms of defence / Anna Freud, translated from the German by Cecil Baines.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1</t>
        </is>
      </c>
      <c r="K1398" t="inlineStr">
        <is>
          <t>Freud, Anna, 1895-1982.</t>
        </is>
      </c>
      <c r="L1398" t="inlineStr">
        <is>
          <t>New York, N.Y. : International Universities Press, inc., [1946]</t>
        </is>
      </c>
      <c r="M1398" t="inlineStr">
        <is>
          <t>1946</t>
        </is>
      </c>
      <c r="O1398" t="inlineStr">
        <is>
          <t>eng</t>
        </is>
      </c>
      <c r="P1398" t="inlineStr">
        <is>
          <t>nyu</t>
        </is>
      </c>
      <c r="R1398" t="inlineStr">
        <is>
          <t xml:space="preserve">BF </t>
        </is>
      </c>
      <c r="S1398" t="n">
        <v>3</v>
      </c>
      <c r="T1398" t="n">
        <v>3</v>
      </c>
      <c r="U1398" t="inlineStr">
        <is>
          <t>2008-03-24</t>
        </is>
      </c>
      <c r="V1398" t="inlineStr">
        <is>
          <t>2008-03-24</t>
        </is>
      </c>
      <c r="W1398" t="inlineStr">
        <is>
          <t>1987-12-10</t>
        </is>
      </c>
      <c r="X1398" t="inlineStr">
        <is>
          <t>1987-12-10</t>
        </is>
      </c>
      <c r="Y1398" t="n">
        <v>780</v>
      </c>
      <c r="Z1398" t="n">
        <v>730</v>
      </c>
      <c r="AA1398" t="n">
        <v>2102</v>
      </c>
      <c r="AB1398" t="n">
        <v>4</v>
      </c>
      <c r="AC1398" t="n">
        <v>18</v>
      </c>
      <c r="AD1398" t="n">
        <v>29</v>
      </c>
      <c r="AE1398" t="n">
        <v>66</v>
      </c>
      <c r="AF1398" t="n">
        <v>12</v>
      </c>
      <c r="AG1398" t="n">
        <v>23</v>
      </c>
      <c r="AH1398" t="n">
        <v>8</v>
      </c>
      <c r="AI1398" t="n">
        <v>12</v>
      </c>
      <c r="AJ1398" t="n">
        <v>14</v>
      </c>
      <c r="AK1398" t="n">
        <v>25</v>
      </c>
      <c r="AL1398" t="n">
        <v>3</v>
      </c>
      <c r="AM1398" t="n">
        <v>16</v>
      </c>
      <c r="AN1398" t="n">
        <v>0</v>
      </c>
      <c r="AO1398" t="n">
        <v>2</v>
      </c>
      <c r="AP1398" t="inlineStr">
        <is>
          <t>No</t>
        </is>
      </c>
      <c r="AQ1398" t="inlineStr">
        <is>
          <t>No</t>
        </is>
      </c>
      <c r="AR1398">
        <f>HYPERLINK("http://catalog.hathitrust.org/Record/000355011","HathiTrust Record")</f>
        <v/>
      </c>
      <c r="AS1398">
        <f>HYPERLINK("https://creighton-primo.hosted.exlibrisgroup.com/primo-explore/search?tab=default_tab&amp;search_scope=EVERYTHING&amp;vid=01CRU&amp;lang=en_US&amp;offset=0&amp;query=any,contains,991001130679702656","Catalog Record")</f>
        <v/>
      </c>
      <c r="AT1398">
        <f>HYPERLINK("http://www.worldcat.org/oclc/192097","WorldCat Record")</f>
        <v/>
      </c>
    </row>
    <row r="1399">
      <c r="A1399" t="inlineStr">
        <is>
          <t>No</t>
        </is>
      </c>
      <c r="B1399" t="inlineStr">
        <is>
          <t>BF173 F6183 S217a 1985</t>
        </is>
      </c>
      <c r="C1399" t="inlineStr">
        <is>
          <t>0                      BF 0173000F  6183               S  217a        1985</t>
        </is>
      </c>
      <c r="D1399" t="inlineStr">
        <is>
          <t>The analysis of defense : the ego and the mechanisms of defense revisited / Joseph Sandler with Anna Freud.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K1399" t="inlineStr">
        <is>
          <t>Sandler, Joseph.</t>
        </is>
      </c>
      <c r="L1399" t="inlineStr">
        <is>
          <t>New York, N.Y. : International Universities Press, c1985.</t>
        </is>
      </c>
      <c r="M1399" t="inlineStr">
        <is>
          <t>1985</t>
        </is>
      </c>
      <c r="O1399" t="inlineStr">
        <is>
          <t>eng</t>
        </is>
      </c>
      <c r="P1399" t="inlineStr">
        <is>
          <t>xxu</t>
        </is>
      </c>
      <c r="R1399" t="inlineStr">
        <is>
          <t xml:space="preserve">BF </t>
        </is>
      </c>
      <c r="S1399" t="n">
        <v>9</v>
      </c>
      <c r="T1399" t="n">
        <v>9</v>
      </c>
      <c r="U1399" t="inlineStr">
        <is>
          <t>1995-09-23</t>
        </is>
      </c>
      <c r="V1399" t="inlineStr">
        <is>
          <t>1995-09-23</t>
        </is>
      </c>
      <c r="W1399" t="inlineStr">
        <is>
          <t>1991-06-17</t>
        </is>
      </c>
      <c r="X1399" t="inlineStr">
        <is>
          <t>1991-06-17</t>
        </is>
      </c>
      <c r="Y1399" t="n">
        <v>409</v>
      </c>
      <c r="Z1399" t="n">
        <v>360</v>
      </c>
      <c r="AA1399" t="n">
        <v>361</v>
      </c>
      <c r="AB1399" t="n">
        <v>4</v>
      </c>
      <c r="AC1399" t="n">
        <v>4</v>
      </c>
      <c r="AD1399" t="n">
        <v>18</v>
      </c>
      <c r="AE1399" t="n">
        <v>18</v>
      </c>
      <c r="AF1399" t="n">
        <v>5</v>
      </c>
      <c r="AG1399" t="n">
        <v>5</v>
      </c>
      <c r="AH1399" t="n">
        <v>3</v>
      </c>
      <c r="AI1399" t="n">
        <v>3</v>
      </c>
      <c r="AJ1399" t="n">
        <v>11</v>
      </c>
      <c r="AK1399" t="n">
        <v>11</v>
      </c>
      <c r="AL1399" t="n">
        <v>3</v>
      </c>
      <c r="AM1399" t="n">
        <v>3</v>
      </c>
      <c r="AN1399" t="n">
        <v>0</v>
      </c>
      <c r="AO1399" t="n">
        <v>0</v>
      </c>
      <c r="AP1399" t="inlineStr">
        <is>
          <t>No</t>
        </is>
      </c>
      <c r="AQ1399" t="inlineStr">
        <is>
          <t>Yes</t>
        </is>
      </c>
      <c r="AR1399">
        <f>HYPERLINK("http://catalog.hathitrust.org/Record/000652780","HathiTrust Record")</f>
        <v/>
      </c>
      <c r="AS1399">
        <f>HYPERLINK("https://creighton-primo.hosted.exlibrisgroup.com/primo-explore/search?tab=default_tab&amp;search_scope=EVERYTHING&amp;vid=01CRU&amp;lang=en_US&amp;offset=0&amp;query=any,contains,991000938939702656","Catalog Record")</f>
        <v/>
      </c>
      <c r="AT1399">
        <f>HYPERLINK("http://www.worldcat.org/oclc/10997277","WorldCat Record")</f>
        <v/>
      </c>
    </row>
    <row r="1400">
      <c r="A1400" t="inlineStr">
        <is>
          <t>No</t>
        </is>
      </c>
      <c r="B1400" t="inlineStr">
        <is>
          <t>BF176 G618C 1979</t>
        </is>
      </c>
      <c r="C1400" t="inlineStr">
        <is>
          <t>0                      BF 0176000G  618C        1979</t>
        </is>
      </c>
      <c r="D1400" t="inlineStr">
        <is>
          <t>Clinical interpretation of objective psychological tests / Charles J. Golden.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K1400" t="inlineStr">
        <is>
          <t>Golden, Charles J., 1949-</t>
        </is>
      </c>
      <c r="L1400" t="inlineStr">
        <is>
          <t>New York : Grune &amp; Stratton, c1979.</t>
        </is>
      </c>
      <c r="M1400" t="inlineStr">
        <is>
          <t>1979</t>
        </is>
      </c>
      <c r="O1400" t="inlineStr">
        <is>
          <t>eng</t>
        </is>
      </c>
      <c r="P1400" t="inlineStr">
        <is>
          <t>nyu</t>
        </is>
      </c>
      <c r="R1400" t="inlineStr">
        <is>
          <t xml:space="preserve">BF </t>
        </is>
      </c>
      <c r="S1400" t="n">
        <v>2</v>
      </c>
      <c r="T1400" t="n">
        <v>2</v>
      </c>
      <c r="U1400" t="inlineStr">
        <is>
          <t>1999-06-28</t>
        </is>
      </c>
      <c r="V1400" t="inlineStr">
        <is>
          <t>1999-06-28</t>
        </is>
      </c>
      <c r="W1400" t="inlineStr">
        <is>
          <t>1987-08-28</t>
        </is>
      </c>
      <c r="X1400" t="inlineStr">
        <is>
          <t>1987-08-28</t>
        </is>
      </c>
      <c r="Y1400" t="n">
        <v>477</v>
      </c>
      <c r="Z1400" t="n">
        <v>369</v>
      </c>
      <c r="AA1400" t="n">
        <v>508</v>
      </c>
      <c r="AB1400" t="n">
        <v>3</v>
      </c>
      <c r="AC1400" t="n">
        <v>3</v>
      </c>
      <c r="AD1400" t="n">
        <v>14</v>
      </c>
      <c r="AE1400" t="n">
        <v>19</v>
      </c>
      <c r="AF1400" t="n">
        <v>5</v>
      </c>
      <c r="AG1400" t="n">
        <v>7</v>
      </c>
      <c r="AH1400" t="n">
        <v>3</v>
      </c>
      <c r="AI1400" t="n">
        <v>4</v>
      </c>
      <c r="AJ1400" t="n">
        <v>8</v>
      </c>
      <c r="AK1400" t="n">
        <v>12</v>
      </c>
      <c r="AL1400" t="n">
        <v>2</v>
      </c>
      <c r="AM1400" t="n">
        <v>2</v>
      </c>
      <c r="AN1400" t="n">
        <v>0</v>
      </c>
      <c r="AO1400" t="n">
        <v>0</v>
      </c>
      <c r="AP1400" t="inlineStr">
        <is>
          <t>No</t>
        </is>
      </c>
      <c r="AQ1400" t="inlineStr">
        <is>
          <t>Yes</t>
        </is>
      </c>
      <c r="AR1400">
        <f>HYPERLINK("http://catalog.hathitrust.org/Record/000041718","HathiTrust Record")</f>
        <v/>
      </c>
      <c r="AS1400">
        <f>HYPERLINK("https://creighton-primo.hosted.exlibrisgroup.com/primo-explore/search?tab=default_tab&amp;search_scope=EVERYTHING&amp;vid=01CRU&amp;lang=en_US&amp;offset=0&amp;query=any,contains,991000786999702656","Catalog Record")</f>
        <v/>
      </c>
      <c r="AT1400">
        <f>HYPERLINK("http://www.worldcat.org/oclc/4493228","WorldCat Record")</f>
        <v/>
      </c>
    </row>
    <row r="1401">
      <c r="A1401" t="inlineStr">
        <is>
          <t>No</t>
        </is>
      </c>
      <c r="B1401" t="inlineStr">
        <is>
          <t>BF176 S423 2003</t>
        </is>
      </c>
      <c r="C1401" t="inlineStr">
        <is>
          <t>0                      BF 0176000S  423         2003</t>
        </is>
      </c>
      <c r="D1401" t="inlineStr">
        <is>
          <t>Score reliability : contemporary thinking on reliability issues / editor, Bruce Thompson.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L1401" t="inlineStr">
        <is>
          <t>Thousand Oaks, Calif. : SAGE Publications, c2003.</t>
        </is>
      </c>
      <c r="M1401" t="inlineStr">
        <is>
          <t>2003</t>
        </is>
      </c>
      <c r="O1401" t="inlineStr">
        <is>
          <t>eng</t>
        </is>
      </c>
      <c r="P1401" t="inlineStr">
        <is>
          <t>cau</t>
        </is>
      </c>
      <c r="R1401" t="inlineStr">
        <is>
          <t xml:space="preserve">BF </t>
        </is>
      </c>
      <c r="S1401" t="n">
        <v>3</v>
      </c>
      <c r="T1401" t="n">
        <v>3</v>
      </c>
      <c r="U1401" t="inlineStr">
        <is>
          <t>2004-02-25</t>
        </is>
      </c>
      <c r="V1401" t="inlineStr">
        <is>
          <t>2004-02-25</t>
        </is>
      </c>
      <c r="W1401" t="inlineStr">
        <is>
          <t>2002-10-01</t>
        </is>
      </c>
      <c r="X1401" t="inlineStr">
        <is>
          <t>2002-10-01</t>
        </is>
      </c>
      <c r="Y1401" t="n">
        <v>313</v>
      </c>
      <c r="Z1401" t="n">
        <v>227</v>
      </c>
      <c r="AA1401" t="n">
        <v>290</v>
      </c>
      <c r="AB1401" t="n">
        <v>4</v>
      </c>
      <c r="AC1401" t="n">
        <v>4</v>
      </c>
      <c r="AD1401" t="n">
        <v>17</v>
      </c>
      <c r="AE1401" t="n">
        <v>19</v>
      </c>
      <c r="AF1401" t="n">
        <v>5</v>
      </c>
      <c r="AG1401" t="n">
        <v>6</v>
      </c>
      <c r="AH1401" t="n">
        <v>5</v>
      </c>
      <c r="AI1401" t="n">
        <v>6</v>
      </c>
      <c r="AJ1401" t="n">
        <v>9</v>
      </c>
      <c r="AK1401" t="n">
        <v>9</v>
      </c>
      <c r="AL1401" t="n">
        <v>3</v>
      </c>
      <c r="AM1401" t="n">
        <v>3</v>
      </c>
      <c r="AN1401" t="n">
        <v>0</v>
      </c>
      <c r="AO1401" t="n">
        <v>0</v>
      </c>
      <c r="AP1401" t="inlineStr">
        <is>
          <t>No</t>
        </is>
      </c>
      <c r="AQ1401" t="inlineStr">
        <is>
          <t>Yes</t>
        </is>
      </c>
      <c r="AR1401">
        <f>HYPERLINK("http://catalog.hathitrust.org/Record/004276862","HathiTrust Record")</f>
        <v/>
      </c>
      <c r="AS1401">
        <f>HYPERLINK("https://creighton-primo.hosted.exlibrisgroup.com/primo-explore/search?tab=default_tab&amp;search_scope=EVERYTHING&amp;vid=01CRU&amp;lang=en_US&amp;offset=0&amp;query=any,contains,991000329749702656","Catalog Record")</f>
        <v/>
      </c>
      <c r="AT1401">
        <f>HYPERLINK("http://www.worldcat.org/oclc/49795362","WorldCat Record")</f>
        <v/>
      </c>
    </row>
    <row r="1402">
      <c r="A1402" t="inlineStr">
        <is>
          <t>No</t>
        </is>
      </c>
      <c r="B1402" t="inlineStr">
        <is>
          <t>BF295 S249 2004</t>
        </is>
      </c>
      <c r="C1402" t="inlineStr">
        <is>
          <t>0                      BF 0295000S  249         2004</t>
        </is>
      </c>
      <c r="D1402" t="inlineStr">
        <is>
          <t>Motor learning and performance / Richard A. Schmidt, Craig A. Wrisberg.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Yes</t>
        </is>
      </c>
      <c r="J1402" t="inlineStr">
        <is>
          <t>0</t>
        </is>
      </c>
      <c r="K1402" t="inlineStr">
        <is>
          <t>Schmidt, Richard A. (Richard Allen), 1941-2015.</t>
        </is>
      </c>
      <c r="L1402" t="inlineStr">
        <is>
          <t>Champaign, IL : Human Kinetics, 2004.</t>
        </is>
      </c>
      <c r="M1402" t="inlineStr">
        <is>
          <t>2004</t>
        </is>
      </c>
      <c r="N1402" t="inlineStr">
        <is>
          <t>3rd ed.</t>
        </is>
      </c>
      <c r="O1402" t="inlineStr">
        <is>
          <t>eng</t>
        </is>
      </c>
      <c r="P1402" t="inlineStr">
        <is>
          <t>ilu</t>
        </is>
      </c>
      <c r="R1402" t="inlineStr">
        <is>
          <t xml:space="preserve">BF </t>
        </is>
      </c>
      <c r="S1402" t="n">
        <v>0</v>
      </c>
      <c r="T1402" t="n">
        <v>0</v>
      </c>
      <c r="U1402" t="inlineStr">
        <is>
          <t>2004-11-02</t>
        </is>
      </c>
      <c r="V1402" t="inlineStr">
        <is>
          <t>2004-11-02</t>
        </is>
      </c>
      <c r="W1402" t="inlineStr">
        <is>
          <t>2004-11-01</t>
        </is>
      </c>
      <c r="X1402" t="inlineStr">
        <is>
          <t>2004-11-01</t>
        </is>
      </c>
      <c r="Y1402" t="n">
        <v>345</v>
      </c>
      <c r="Z1402" t="n">
        <v>220</v>
      </c>
      <c r="AA1402" t="n">
        <v>693</v>
      </c>
      <c r="AB1402" t="n">
        <v>3</v>
      </c>
      <c r="AC1402" t="n">
        <v>12</v>
      </c>
      <c r="AD1402" t="n">
        <v>7</v>
      </c>
      <c r="AE1402" t="n">
        <v>32</v>
      </c>
      <c r="AF1402" t="n">
        <v>2</v>
      </c>
      <c r="AG1402" t="n">
        <v>14</v>
      </c>
      <c r="AH1402" t="n">
        <v>1</v>
      </c>
      <c r="AI1402" t="n">
        <v>3</v>
      </c>
      <c r="AJ1402" t="n">
        <v>4</v>
      </c>
      <c r="AK1402" t="n">
        <v>13</v>
      </c>
      <c r="AL1402" t="n">
        <v>2</v>
      </c>
      <c r="AM1402" t="n">
        <v>10</v>
      </c>
      <c r="AN1402" t="n">
        <v>0</v>
      </c>
      <c r="AO1402" t="n">
        <v>0</v>
      </c>
      <c r="AP1402" t="inlineStr">
        <is>
          <t>No</t>
        </is>
      </c>
      <c r="AQ1402" t="inlineStr">
        <is>
          <t>Yes</t>
        </is>
      </c>
      <c r="AR1402">
        <f>HYPERLINK("http://catalog.hathitrust.org/Record/004766086","HathiTrust Record")</f>
        <v/>
      </c>
      <c r="AS1402">
        <f>HYPERLINK("https://creighton-primo.hosted.exlibrisgroup.com/primo-explore/search?tab=default_tab&amp;search_scope=EVERYTHING&amp;vid=01CRU&amp;lang=en_US&amp;offset=0&amp;query=any,contains,991000405749702656","Catalog Record")</f>
        <v/>
      </c>
      <c r="AT1402">
        <f>HYPERLINK("http://www.worldcat.org/oclc/53485359","WorldCat Record")</f>
        <v/>
      </c>
    </row>
    <row r="1403">
      <c r="A1403" t="inlineStr">
        <is>
          <t>No</t>
        </is>
      </c>
      <c r="B1403" t="inlineStr">
        <is>
          <t>BF31 .E5 1994</t>
        </is>
      </c>
      <c r="C1403" t="inlineStr">
        <is>
          <t>0                      BF 0031000E  5           1994</t>
        </is>
      </c>
      <c r="D1403" t="inlineStr">
        <is>
          <t>Encyclopedia of human behavior / editor-in-chief V.S. Ramachandran.</t>
        </is>
      </c>
      <c r="E1403" t="inlineStr">
        <is>
          <t>V. 4</t>
        </is>
      </c>
      <c r="F1403" t="inlineStr">
        <is>
          <t>Yes</t>
        </is>
      </c>
      <c r="G1403" t="inlineStr">
        <is>
          <t>1</t>
        </is>
      </c>
      <c r="H1403" t="inlineStr">
        <is>
          <t>Yes</t>
        </is>
      </c>
      <c r="I1403" t="inlineStr">
        <is>
          <t>No</t>
        </is>
      </c>
      <c r="J1403" t="inlineStr">
        <is>
          <t>0</t>
        </is>
      </c>
      <c r="L1403" t="inlineStr">
        <is>
          <t>San Diego, CA : Academic Press, c1994.</t>
        </is>
      </c>
      <c r="M1403" t="inlineStr">
        <is>
          <t>1994</t>
        </is>
      </c>
      <c r="O1403" t="inlineStr">
        <is>
          <t>eng</t>
        </is>
      </c>
      <c r="P1403" t="inlineStr">
        <is>
          <t>cau</t>
        </is>
      </c>
      <c r="R1403" t="inlineStr">
        <is>
          <t xml:space="preserve">BF </t>
        </is>
      </c>
      <c r="S1403" t="n">
        <v>2</v>
      </c>
      <c r="T1403" t="n">
        <v>36</v>
      </c>
      <c r="U1403" t="inlineStr">
        <is>
          <t>1994-09-14</t>
        </is>
      </c>
      <c r="V1403" t="inlineStr">
        <is>
          <t>2004-10-24</t>
        </is>
      </c>
      <c r="W1403" t="inlineStr">
        <is>
          <t>1994-09-13</t>
        </is>
      </c>
      <c r="X1403" t="inlineStr">
        <is>
          <t>1994-09-13</t>
        </is>
      </c>
      <c r="Y1403" t="n">
        <v>953</v>
      </c>
      <c r="Z1403" t="n">
        <v>783</v>
      </c>
      <c r="AA1403" t="n">
        <v>786</v>
      </c>
      <c r="AB1403" t="n">
        <v>7</v>
      </c>
      <c r="AC1403" t="n">
        <v>7</v>
      </c>
      <c r="AD1403" t="n">
        <v>25</v>
      </c>
      <c r="AE1403" t="n">
        <v>25</v>
      </c>
      <c r="AF1403" t="n">
        <v>8</v>
      </c>
      <c r="AG1403" t="n">
        <v>8</v>
      </c>
      <c r="AH1403" t="n">
        <v>5</v>
      </c>
      <c r="AI1403" t="n">
        <v>5</v>
      </c>
      <c r="AJ1403" t="n">
        <v>12</v>
      </c>
      <c r="AK1403" t="n">
        <v>12</v>
      </c>
      <c r="AL1403" t="n">
        <v>5</v>
      </c>
      <c r="AM1403" t="n">
        <v>5</v>
      </c>
      <c r="AN1403" t="n">
        <v>0</v>
      </c>
      <c r="AO1403" t="n">
        <v>0</v>
      </c>
      <c r="AP1403" t="inlineStr">
        <is>
          <t>No</t>
        </is>
      </c>
      <c r="AQ1403" t="inlineStr">
        <is>
          <t>Yes</t>
        </is>
      </c>
      <c r="AR1403">
        <f>HYPERLINK("http://catalog.hathitrust.org/Record/002811940","HathiTrust Record")</f>
        <v/>
      </c>
      <c r="AS1403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3">
        <f>HYPERLINK("http://www.worldcat.org/oclc/28799810","WorldCat Record")</f>
        <v/>
      </c>
    </row>
    <row r="1404">
      <c r="A1404" t="inlineStr">
        <is>
          <t>No</t>
        </is>
      </c>
      <c r="B1404" t="inlineStr">
        <is>
          <t>BF31 .E5 1994</t>
        </is>
      </c>
      <c r="C1404" t="inlineStr">
        <is>
          <t>0                      BF 0031000E  5           1994</t>
        </is>
      </c>
      <c r="D1404" t="inlineStr">
        <is>
          <t>Encyclopedia of human behavior / editor-in-chief V.S. Ramachandran.</t>
        </is>
      </c>
      <c r="E1404" t="inlineStr">
        <is>
          <t>V. 3</t>
        </is>
      </c>
      <c r="F1404" t="inlineStr">
        <is>
          <t>Yes</t>
        </is>
      </c>
      <c r="G1404" t="inlineStr">
        <is>
          <t>1</t>
        </is>
      </c>
      <c r="H1404" t="inlineStr">
        <is>
          <t>Yes</t>
        </is>
      </c>
      <c r="I1404" t="inlineStr">
        <is>
          <t>No</t>
        </is>
      </c>
      <c r="J1404" t="inlineStr">
        <is>
          <t>0</t>
        </is>
      </c>
      <c r="L1404" t="inlineStr">
        <is>
          <t>San Diego, CA : Academic Press, c1994.</t>
        </is>
      </c>
      <c r="M1404" t="inlineStr">
        <is>
          <t>1994</t>
        </is>
      </c>
      <c r="O1404" t="inlineStr">
        <is>
          <t>eng</t>
        </is>
      </c>
      <c r="P1404" t="inlineStr">
        <is>
          <t>cau</t>
        </is>
      </c>
      <c r="R1404" t="inlineStr">
        <is>
          <t xml:space="preserve">BF </t>
        </is>
      </c>
      <c r="S1404" t="n">
        <v>1</v>
      </c>
      <c r="T1404" t="n">
        <v>36</v>
      </c>
      <c r="U1404" t="inlineStr">
        <is>
          <t>1994-09-14</t>
        </is>
      </c>
      <c r="V1404" t="inlineStr">
        <is>
          <t>2004-10-24</t>
        </is>
      </c>
      <c r="W1404" t="inlineStr">
        <is>
          <t>1994-09-13</t>
        </is>
      </c>
      <c r="X1404" t="inlineStr">
        <is>
          <t>1994-09-13</t>
        </is>
      </c>
      <c r="Y1404" t="n">
        <v>953</v>
      </c>
      <c r="Z1404" t="n">
        <v>783</v>
      </c>
      <c r="AA1404" t="n">
        <v>786</v>
      </c>
      <c r="AB1404" t="n">
        <v>7</v>
      </c>
      <c r="AC1404" t="n">
        <v>7</v>
      </c>
      <c r="AD1404" t="n">
        <v>25</v>
      </c>
      <c r="AE1404" t="n">
        <v>25</v>
      </c>
      <c r="AF1404" t="n">
        <v>8</v>
      </c>
      <c r="AG1404" t="n">
        <v>8</v>
      </c>
      <c r="AH1404" t="n">
        <v>5</v>
      </c>
      <c r="AI1404" t="n">
        <v>5</v>
      </c>
      <c r="AJ1404" t="n">
        <v>12</v>
      </c>
      <c r="AK1404" t="n">
        <v>12</v>
      </c>
      <c r="AL1404" t="n">
        <v>5</v>
      </c>
      <c r="AM1404" t="n">
        <v>5</v>
      </c>
      <c r="AN1404" t="n">
        <v>0</v>
      </c>
      <c r="AO1404" t="n">
        <v>0</v>
      </c>
      <c r="AP1404" t="inlineStr">
        <is>
          <t>No</t>
        </is>
      </c>
      <c r="AQ1404" t="inlineStr">
        <is>
          <t>Yes</t>
        </is>
      </c>
      <c r="AR1404">
        <f>HYPERLINK("http://catalog.hathitrust.org/Record/002811940","HathiTrust Record")</f>
        <v/>
      </c>
      <c r="AS1404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4">
        <f>HYPERLINK("http://www.worldcat.org/oclc/28799810","WorldCat Record")</f>
        <v/>
      </c>
    </row>
    <row r="1405">
      <c r="A1405" t="inlineStr">
        <is>
          <t>No</t>
        </is>
      </c>
      <c r="B1405" t="inlineStr">
        <is>
          <t>BF31 .E5 1994</t>
        </is>
      </c>
      <c r="C1405" t="inlineStr">
        <is>
          <t>0                      BF 0031000E  5           1994</t>
        </is>
      </c>
      <c r="D1405" t="inlineStr">
        <is>
          <t>Encyclopedia of human behavior / editor-in-chief V.S. Ramachandran.</t>
        </is>
      </c>
      <c r="E1405" t="inlineStr">
        <is>
          <t>V. 1</t>
        </is>
      </c>
      <c r="F1405" t="inlineStr">
        <is>
          <t>Yes</t>
        </is>
      </c>
      <c r="G1405" t="inlineStr">
        <is>
          <t>1</t>
        </is>
      </c>
      <c r="H1405" t="inlineStr">
        <is>
          <t>Yes</t>
        </is>
      </c>
      <c r="I1405" t="inlineStr">
        <is>
          <t>No</t>
        </is>
      </c>
      <c r="J1405" t="inlineStr">
        <is>
          <t>0</t>
        </is>
      </c>
      <c r="L1405" t="inlineStr">
        <is>
          <t>San Diego, CA : Academic Press, c1994.</t>
        </is>
      </c>
      <c r="M1405" t="inlineStr">
        <is>
          <t>1994</t>
        </is>
      </c>
      <c r="O1405" t="inlineStr">
        <is>
          <t>eng</t>
        </is>
      </c>
      <c r="P1405" t="inlineStr">
        <is>
          <t>cau</t>
        </is>
      </c>
      <c r="R1405" t="inlineStr">
        <is>
          <t xml:space="preserve">BF </t>
        </is>
      </c>
      <c r="S1405" t="n">
        <v>2</v>
      </c>
      <c r="T1405" t="n">
        <v>36</v>
      </c>
      <c r="U1405" t="inlineStr">
        <is>
          <t>1994-09-14</t>
        </is>
      </c>
      <c r="V1405" t="inlineStr">
        <is>
          <t>2004-10-24</t>
        </is>
      </c>
      <c r="W1405" t="inlineStr">
        <is>
          <t>1994-09-13</t>
        </is>
      </c>
      <c r="X1405" t="inlineStr">
        <is>
          <t>1994-09-13</t>
        </is>
      </c>
      <c r="Y1405" t="n">
        <v>953</v>
      </c>
      <c r="Z1405" t="n">
        <v>783</v>
      </c>
      <c r="AA1405" t="n">
        <v>786</v>
      </c>
      <c r="AB1405" t="n">
        <v>7</v>
      </c>
      <c r="AC1405" t="n">
        <v>7</v>
      </c>
      <c r="AD1405" t="n">
        <v>25</v>
      </c>
      <c r="AE1405" t="n">
        <v>25</v>
      </c>
      <c r="AF1405" t="n">
        <v>8</v>
      </c>
      <c r="AG1405" t="n">
        <v>8</v>
      </c>
      <c r="AH1405" t="n">
        <v>5</v>
      </c>
      <c r="AI1405" t="n">
        <v>5</v>
      </c>
      <c r="AJ1405" t="n">
        <v>12</v>
      </c>
      <c r="AK1405" t="n">
        <v>12</v>
      </c>
      <c r="AL1405" t="n">
        <v>5</v>
      </c>
      <c r="AM1405" t="n">
        <v>5</v>
      </c>
      <c r="AN1405" t="n">
        <v>0</v>
      </c>
      <c r="AO1405" t="n">
        <v>0</v>
      </c>
      <c r="AP1405" t="inlineStr">
        <is>
          <t>No</t>
        </is>
      </c>
      <c r="AQ1405" t="inlineStr">
        <is>
          <t>Yes</t>
        </is>
      </c>
      <c r="AR1405">
        <f>HYPERLINK("http://catalog.hathitrust.org/Record/002811940","HathiTrust Record")</f>
        <v/>
      </c>
      <c r="AS1405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5">
        <f>HYPERLINK("http://www.worldcat.org/oclc/28799810","WorldCat Record")</f>
        <v/>
      </c>
    </row>
    <row r="1406">
      <c r="A1406" t="inlineStr">
        <is>
          <t>No</t>
        </is>
      </c>
      <c r="B1406" t="inlineStr">
        <is>
          <t>BF31 .E5 1994</t>
        </is>
      </c>
      <c r="C1406" t="inlineStr">
        <is>
          <t>0                      BF 0031000E  5           1994</t>
        </is>
      </c>
      <c r="D1406" t="inlineStr">
        <is>
          <t>Encyclopedia of human behavior / editor-in-chief V.S. Ramachandran.</t>
        </is>
      </c>
      <c r="E1406" t="inlineStr">
        <is>
          <t>V. 2</t>
        </is>
      </c>
      <c r="F1406" t="inlineStr">
        <is>
          <t>Yes</t>
        </is>
      </c>
      <c r="G1406" t="inlineStr">
        <is>
          <t>1</t>
        </is>
      </c>
      <c r="H1406" t="inlineStr">
        <is>
          <t>Yes</t>
        </is>
      </c>
      <c r="I1406" t="inlineStr">
        <is>
          <t>No</t>
        </is>
      </c>
      <c r="J1406" t="inlineStr">
        <is>
          <t>0</t>
        </is>
      </c>
      <c r="L1406" t="inlineStr">
        <is>
          <t>San Diego, CA : Academic Press, c1994.</t>
        </is>
      </c>
      <c r="M1406" t="inlineStr">
        <is>
          <t>1994</t>
        </is>
      </c>
      <c r="O1406" t="inlineStr">
        <is>
          <t>eng</t>
        </is>
      </c>
      <c r="P1406" t="inlineStr">
        <is>
          <t>cau</t>
        </is>
      </c>
      <c r="R1406" t="inlineStr">
        <is>
          <t xml:space="preserve">BF </t>
        </is>
      </c>
      <c r="S1406" t="n">
        <v>2</v>
      </c>
      <c r="T1406" t="n">
        <v>36</v>
      </c>
      <c r="U1406" t="inlineStr">
        <is>
          <t>1994-09-14</t>
        </is>
      </c>
      <c r="V1406" t="inlineStr">
        <is>
          <t>2004-10-24</t>
        </is>
      </c>
      <c r="W1406" t="inlineStr">
        <is>
          <t>1994-09-13</t>
        </is>
      </c>
      <c r="X1406" t="inlineStr">
        <is>
          <t>1994-09-13</t>
        </is>
      </c>
      <c r="Y1406" t="n">
        <v>953</v>
      </c>
      <c r="Z1406" t="n">
        <v>783</v>
      </c>
      <c r="AA1406" t="n">
        <v>786</v>
      </c>
      <c r="AB1406" t="n">
        <v>7</v>
      </c>
      <c r="AC1406" t="n">
        <v>7</v>
      </c>
      <c r="AD1406" t="n">
        <v>25</v>
      </c>
      <c r="AE1406" t="n">
        <v>25</v>
      </c>
      <c r="AF1406" t="n">
        <v>8</v>
      </c>
      <c r="AG1406" t="n">
        <v>8</v>
      </c>
      <c r="AH1406" t="n">
        <v>5</v>
      </c>
      <c r="AI1406" t="n">
        <v>5</v>
      </c>
      <c r="AJ1406" t="n">
        <v>12</v>
      </c>
      <c r="AK1406" t="n">
        <v>12</v>
      </c>
      <c r="AL1406" t="n">
        <v>5</v>
      </c>
      <c r="AM1406" t="n">
        <v>5</v>
      </c>
      <c r="AN1406" t="n">
        <v>0</v>
      </c>
      <c r="AO1406" t="n">
        <v>0</v>
      </c>
      <c r="AP1406" t="inlineStr">
        <is>
          <t>No</t>
        </is>
      </c>
      <c r="AQ1406" t="inlineStr">
        <is>
          <t>Yes</t>
        </is>
      </c>
      <c r="AR1406">
        <f>HYPERLINK("http://catalog.hathitrust.org/Record/002811940","HathiTrust Record")</f>
        <v/>
      </c>
      <c r="AS1406">
        <f>HYPERLINK("https://creighton-primo.hosted.exlibrisgroup.com/primo-explore/search?tab=default_tab&amp;search_scope=EVERYTHING&amp;vid=01CRU&amp;lang=en_US&amp;offset=0&amp;query=any,contains,991001690309702656","Catalog Record")</f>
        <v/>
      </c>
      <c r="AT1406">
        <f>HYPERLINK("http://www.worldcat.org/oclc/28799810","WorldCat Record")</f>
        <v/>
      </c>
    </row>
    <row r="1407">
      <c r="A1407" t="inlineStr">
        <is>
          <t>No</t>
        </is>
      </c>
      <c r="B1407" t="inlineStr">
        <is>
          <t>BF319.5.O6 F7</t>
        </is>
      </c>
      <c r="C1407" t="inlineStr">
        <is>
          <t>0                      BF 0319500O  6                  F  7</t>
        </is>
      </c>
      <c r="D1407" t="inlineStr">
        <is>
          <t>The planned society : an analysis of Skinner's proposals / by Anne E. Freedman.</t>
        </is>
      </c>
      <c r="F1407" t="inlineStr">
        <is>
          <t>No</t>
        </is>
      </c>
      <c r="G1407" t="inlineStr">
        <is>
          <t>1</t>
        </is>
      </c>
      <c r="H1407" t="inlineStr">
        <is>
          <t>Yes</t>
        </is>
      </c>
      <c r="I1407" t="inlineStr">
        <is>
          <t>No</t>
        </is>
      </c>
      <c r="J1407" t="inlineStr">
        <is>
          <t>0</t>
        </is>
      </c>
      <c r="K1407" t="inlineStr">
        <is>
          <t>Freedman, Anne E.</t>
        </is>
      </c>
      <c r="L1407" t="inlineStr">
        <is>
          <t>Kalamazoo, Mich. : Behaviordelia, 1972.</t>
        </is>
      </c>
      <c r="M1407" t="inlineStr">
        <is>
          <t>1972</t>
        </is>
      </c>
      <c r="O1407" t="inlineStr">
        <is>
          <t>eng</t>
        </is>
      </c>
      <c r="P1407" t="inlineStr">
        <is>
          <t xml:space="preserve">xx </t>
        </is>
      </c>
      <c r="R1407" t="inlineStr">
        <is>
          <t xml:space="preserve">BF </t>
        </is>
      </c>
      <c r="S1407" t="n">
        <v>2</v>
      </c>
      <c r="T1407" t="n">
        <v>3</v>
      </c>
      <c r="V1407" t="inlineStr">
        <is>
          <t>2004-07-05</t>
        </is>
      </c>
      <c r="W1407" t="inlineStr">
        <is>
          <t>1987-09-16</t>
        </is>
      </c>
      <c r="X1407" t="inlineStr">
        <is>
          <t>1993-05-05</t>
        </is>
      </c>
      <c r="Y1407" t="n">
        <v>196</v>
      </c>
      <c r="Z1407" t="n">
        <v>163</v>
      </c>
      <c r="AA1407" t="n">
        <v>163</v>
      </c>
      <c r="AB1407" t="n">
        <v>2</v>
      </c>
      <c r="AC1407" t="n">
        <v>2</v>
      </c>
      <c r="AD1407" t="n">
        <v>4</v>
      </c>
      <c r="AE1407" t="n">
        <v>4</v>
      </c>
      <c r="AF1407" t="n">
        <v>2</v>
      </c>
      <c r="AG1407" t="n">
        <v>2</v>
      </c>
      <c r="AH1407" t="n">
        <v>0</v>
      </c>
      <c r="AI1407" t="n">
        <v>0</v>
      </c>
      <c r="AJ1407" t="n">
        <v>2</v>
      </c>
      <c r="AK1407" t="n">
        <v>2</v>
      </c>
      <c r="AL1407" t="n">
        <v>0</v>
      </c>
      <c r="AM1407" t="n">
        <v>0</v>
      </c>
      <c r="AN1407" t="n">
        <v>0</v>
      </c>
      <c r="AO1407" t="n">
        <v>0</v>
      </c>
      <c r="AP1407" t="inlineStr">
        <is>
          <t>No</t>
        </is>
      </c>
      <c r="AQ1407" t="inlineStr">
        <is>
          <t>No</t>
        </is>
      </c>
      <c r="AS1407">
        <f>HYPERLINK("https://creighton-primo.hosted.exlibrisgroup.com/primo-explore/search?tab=default_tab&amp;search_scope=EVERYTHING&amp;vid=01CRU&amp;lang=en_US&amp;offset=0&amp;query=any,contains,991001765839702656","Catalog Record")</f>
        <v/>
      </c>
      <c r="AT1407">
        <f>HYPERLINK("http://www.worldcat.org/oclc/931950","WorldCat Record")</f>
        <v/>
      </c>
    </row>
    <row r="1408">
      <c r="A1408" t="inlineStr">
        <is>
          <t>No</t>
        </is>
      </c>
      <c r="B1408" t="inlineStr">
        <is>
          <t>BF321 .N5</t>
        </is>
      </c>
      <c r="C1408" t="inlineStr">
        <is>
          <t>0                      BF 0321000N  5</t>
        </is>
      </c>
      <c r="D1408" t="inlineStr">
        <is>
          <t>Are you listening? / [by] Ralph G. Nichols [and] Leonard A. Stevens.</t>
        </is>
      </c>
      <c r="F1408" t="inlineStr">
        <is>
          <t>No</t>
        </is>
      </c>
      <c r="G1408" t="inlineStr">
        <is>
          <t>1</t>
        </is>
      </c>
      <c r="H1408" t="inlineStr">
        <is>
          <t>Yes</t>
        </is>
      </c>
      <c r="I1408" t="inlineStr">
        <is>
          <t>No</t>
        </is>
      </c>
      <c r="J1408" t="inlineStr">
        <is>
          <t>0</t>
        </is>
      </c>
      <c r="K1408" t="inlineStr">
        <is>
          <t>Nichols, Ralph G.</t>
        </is>
      </c>
      <c r="L1408" t="inlineStr">
        <is>
          <t>New York : McGraw-Hill, [1957]</t>
        </is>
      </c>
      <c r="M1408" t="inlineStr">
        <is>
          <t>1957</t>
        </is>
      </c>
      <c r="O1408" t="inlineStr">
        <is>
          <t>eng</t>
        </is>
      </c>
      <c r="P1408" t="inlineStr">
        <is>
          <t>nyu</t>
        </is>
      </c>
      <c r="R1408" t="inlineStr">
        <is>
          <t xml:space="preserve">BF </t>
        </is>
      </c>
      <c r="S1408" t="n">
        <v>4</v>
      </c>
      <c r="T1408" t="n">
        <v>12</v>
      </c>
      <c r="U1408" t="inlineStr">
        <is>
          <t>1996-12-20</t>
        </is>
      </c>
      <c r="V1408" t="inlineStr">
        <is>
          <t>2001-03-02</t>
        </is>
      </c>
      <c r="W1408" t="inlineStr">
        <is>
          <t>1987-12-29</t>
        </is>
      </c>
      <c r="X1408" t="inlineStr">
        <is>
          <t>1991-12-23</t>
        </is>
      </c>
      <c r="Y1408" t="n">
        <v>869</v>
      </c>
      <c r="Z1408" t="n">
        <v>779</v>
      </c>
      <c r="AA1408" t="n">
        <v>787</v>
      </c>
      <c r="AB1408" t="n">
        <v>10</v>
      </c>
      <c r="AC1408" t="n">
        <v>10</v>
      </c>
      <c r="AD1408" t="n">
        <v>32</v>
      </c>
      <c r="AE1408" t="n">
        <v>32</v>
      </c>
      <c r="AF1408" t="n">
        <v>12</v>
      </c>
      <c r="AG1408" t="n">
        <v>12</v>
      </c>
      <c r="AH1408" t="n">
        <v>4</v>
      </c>
      <c r="AI1408" t="n">
        <v>4</v>
      </c>
      <c r="AJ1408" t="n">
        <v>14</v>
      </c>
      <c r="AK1408" t="n">
        <v>14</v>
      </c>
      <c r="AL1408" t="n">
        <v>7</v>
      </c>
      <c r="AM1408" t="n">
        <v>7</v>
      </c>
      <c r="AN1408" t="n">
        <v>0</v>
      </c>
      <c r="AO1408" t="n">
        <v>0</v>
      </c>
      <c r="AP1408" t="inlineStr">
        <is>
          <t>No</t>
        </is>
      </c>
      <c r="AQ1408" t="inlineStr">
        <is>
          <t>Yes</t>
        </is>
      </c>
      <c r="AR1408">
        <f>HYPERLINK("http://catalog.hathitrust.org/Record/000355014","HathiTrust Record")</f>
        <v/>
      </c>
      <c r="AS1408">
        <f>HYPERLINK("https://creighton-primo.hosted.exlibrisgroup.com/primo-explore/search?tab=default_tab&amp;search_scope=EVERYTHING&amp;vid=01CRU&amp;lang=en_US&amp;offset=0&amp;query=any,contains,991001762039702656","Catalog Record")</f>
        <v/>
      </c>
      <c r="AT1408">
        <f>HYPERLINK("http://www.worldcat.org/oclc/224491","WorldCat Record")</f>
        <v/>
      </c>
    </row>
    <row r="1409">
      <c r="A1409" t="inlineStr">
        <is>
          <t>No</t>
        </is>
      </c>
      <c r="B1409" t="inlineStr">
        <is>
          <t>BF323.E8 S75</t>
        </is>
      </c>
      <c r="C1409" t="inlineStr">
        <is>
          <t>0                      BF 0323000E  8                  S  75</t>
        </is>
      </c>
      <c r="D1409" t="inlineStr">
        <is>
          <t>The psychology of hope.</t>
        </is>
      </c>
      <c r="F1409" t="inlineStr">
        <is>
          <t>No</t>
        </is>
      </c>
      <c r="G1409" t="inlineStr">
        <is>
          <t>1</t>
        </is>
      </c>
      <c r="H1409" t="inlineStr">
        <is>
          <t>No</t>
        </is>
      </c>
      <c r="I1409" t="inlineStr">
        <is>
          <t>No</t>
        </is>
      </c>
      <c r="J1409" t="inlineStr">
        <is>
          <t>0</t>
        </is>
      </c>
      <c r="K1409" t="inlineStr">
        <is>
          <t>Stotland, Ezra, 1924-</t>
        </is>
      </c>
      <c r="L1409" t="inlineStr">
        <is>
          <t>San Francisco, Jossey-Bass, 1969.</t>
        </is>
      </c>
      <c r="M1409" t="inlineStr">
        <is>
          <t>1969</t>
        </is>
      </c>
      <c r="N1409" t="inlineStr">
        <is>
          <t>[1st ed.]</t>
        </is>
      </c>
      <c r="O1409" t="inlineStr">
        <is>
          <t>eng</t>
        </is>
      </c>
      <c r="P1409" t="inlineStr">
        <is>
          <t>cau</t>
        </is>
      </c>
      <c r="Q1409" t="inlineStr">
        <is>
          <t>Jossey-Bass behavioral science series</t>
        </is>
      </c>
      <c r="R1409" t="inlineStr">
        <is>
          <t xml:space="preserve">BF </t>
        </is>
      </c>
      <c r="S1409" t="n">
        <v>11</v>
      </c>
      <c r="T1409" t="n">
        <v>11</v>
      </c>
      <c r="U1409" t="inlineStr">
        <is>
          <t>1990-02-18</t>
        </is>
      </c>
      <c r="V1409" t="inlineStr">
        <is>
          <t>1990-02-18</t>
        </is>
      </c>
      <c r="W1409" t="inlineStr">
        <is>
          <t>1987-12-29</t>
        </is>
      </c>
      <c r="X1409" t="inlineStr">
        <is>
          <t>1987-12-29</t>
        </is>
      </c>
      <c r="Y1409" t="n">
        <v>835</v>
      </c>
      <c r="Z1409" t="n">
        <v>745</v>
      </c>
      <c r="AA1409" t="n">
        <v>756</v>
      </c>
      <c r="AB1409" t="n">
        <v>4</v>
      </c>
      <c r="AC1409" t="n">
        <v>4</v>
      </c>
      <c r="AD1409" t="n">
        <v>42</v>
      </c>
      <c r="AE1409" t="n">
        <v>42</v>
      </c>
      <c r="AF1409" t="n">
        <v>17</v>
      </c>
      <c r="AG1409" t="n">
        <v>17</v>
      </c>
      <c r="AH1409" t="n">
        <v>11</v>
      </c>
      <c r="AI1409" t="n">
        <v>11</v>
      </c>
      <c r="AJ1409" t="n">
        <v>23</v>
      </c>
      <c r="AK1409" t="n">
        <v>23</v>
      </c>
      <c r="AL1409" t="n">
        <v>3</v>
      </c>
      <c r="AM1409" t="n">
        <v>3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Yes</t>
        </is>
      </c>
      <c r="AR1409">
        <f>HYPERLINK("http://catalog.hathitrust.org/Record/000355225","HathiTrust Record")</f>
        <v/>
      </c>
      <c r="AS1409">
        <f>HYPERLINK("https://creighton-primo.hosted.exlibrisgroup.com/primo-explore/search?tab=default_tab&amp;search_scope=EVERYTHING&amp;vid=01CRU&amp;lang=en_US&amp;offset=0&amp;query=any,contains,991000787339702656","Catalog Record")</f>
        <v/>
      </c>
      <c r="AT1409">
        <f>HYPERLINK("http://www.worldcat.org/oclc/31274","WorldCat Record")</f>
        <v/>
      </c>
    </row>
    <row r="1410">
      <c r="A1410" t="inlineStr">
        <is>
          <t>No</t>
        </is>
      </c>
      <c r="B1410" t="inlineStr">
        <is>
          <t>BF353 G162p 1993</t>
        </is>
      </c>
      <c r="C1410" t="inlineStr">
        <is>
          <t>0                      BF 0353000G  162p        1993</t>
        </is>
      </c>
      <c r="D1410" t="inlineStr">
        <is>
          <t>The power of place : how our surroundings shape our thoughts, emotions, and actions / Winifred Gallagher.</t>
        </is>
      </c>
      <c r="F1410" t="inlineStr">
        <is>
          <t>No</t>
        </is>
      </c>
      <c r="G1410" t="inlineStr">
        <is>
          <t>1</t>
        </is>
      </c>
      <c r="H1410" t="inlineStr">
        <is>
          <t>No</t>
        </is>
      </c>
      <c r="I1410" t="inlineStr">
        <is>
          <t>Yes</t>
        </is>
      </c>
      <c r="J1410" t="inlineStr">
        <is>
          <t>0</t>
        </is>
      </c>
      <c r="K1410" t="inlineStr">
        <is>
          <t>Gallagher, Winifred.</t>
        </is>
      </c>
      <c r="L1410" t="inlineStr">
        <is>
          <t>New York : Poseidon Press, c1993.</t>
        </is>
      </c>
      <c r="M1410" t="inlineStr">
        <is>
          <t>1993</t>
        </is>
      </c>
      <c r="O1410" t="inlineStr">
        <is>
          <t>eng</t>
        </is>
      </c>
      <c r="P1410" t="inlineStr">
        <is>
          <t>nyu</t>
        </is>
      </c>
      <c r="R1410" t="inlineStr">
        <is>
          <t xml:space="preserve">BF </t>
        </is>
      </c>
      <c r="S1410" t="n">
        <v>12</v>
      </c>
      <c r="T1410" t="n">
        <v>12</v>
      </c>
      <c r="U1410" t="inlineStr">
        <is>
          <t>2002-11-21</t>
        </is>
      </c>
      <c r="V1410" t="inlineStr">
        <is>
          <t>2002-11-21</t>
        </is>
      </c>
      <c r="W1410" t="inlineStr">
        <is>
          <t>2002-08-23</t>
        </is>
      </c>
      <c r="X1410" t="inlineStr">
        <is>
          <t>2002-08-23</t>
        </is>
      </c>
      <c r="Y1410" t="n">
        <v>1130</v>
      </c>
      <c r="Z1410" t="n">
        <v>1054</v>
      </c>
      <c r="AA1410" t="n">
        <v>1362</v>
      </c>
      <c r="AB1410" t="n">
        <v>5</v>
      </c>
      <c r="AC1410" t="n">
        <v>7</v>
      </c>
      <c r="AD1410" t="n">
        <v>31</v>
      </c>
      <c r="AE1410" t="n">
        <v>40</v>
      </c>
      <c r="AF1410" t="n">
        <v>12</v>
      </c>
      <c r="AG1410" t="n">
        <v>17</v>
      </c>
      <c r="AH1410" t="n">
        <v>5</v>
      </c>
      <c r="AI1410" t="n">
        <v>7</v>
      </c>
      <c r="AJ1410" t="n">
        <v>18</v>
      </c>
      <c r="AK1410" t="n">
        <v>21</v>
      </c>
      <c r="AL1410" t="n">
        <v>4</v>
      </c>
      <c r="AM1410" t="n">
        <v>5</v>
      </c>
      <c r="AN1410" t="n">
        <v>0</v>
      </c>
      <c r="AO1410" t="n">
        <v>0</v>
      </c>
      <c r="AP1410" t="inlineStr">
        <is>
          <t>No</t>
        </is>
      </c>
      <c r="AQ1410" t="inlineStr">
        <is>
          <t>Yes</t>
        </is>
      </c>
      <c r="AR1410">
        <f>HYPERLINK("http://catalog.hathitrust.org/Record/002622463","HathiTrust Record")</f>
        <v/>
      </c>
      <c r="AS1410">
        <f>HYPERLINK("https://creighton-primo.hosted.exlibrisgroup.com/primo-explore/search?tab=default_tab&amp;search_scope=EVERYTHING&amp;vid=01CRU&amp;lang=en_US&amp;offset=0&amp;query=any,contains,991000328559702656","Catalog Record")</f>
        <v/>
      </c>
      <c r="AT1410">
        <f>HYPERLINK("http://www.worldcat.org/oclc/27011419","WorldCat Record")</f>
        <v/>
      </c>
    </row>
    <row r="1411">
      <c r="A1411" t="inlineStr">
        <is>
          <t>No</t>
        </is>
      </c>
      <c r="B1411" t="inlineStr">
        <is>
          <t>BF431 .G783 1987</t>
        </is>
      </c>
      <c r="C1411" t="inlineStr">
        <is>
          <t>0                      BF 0431000G  783         1987</t>
        </is>
      </c>
      <c r="D1411" t="inlineStr">
        <is>
          <t>Adult intellectual assessment / Robert J. Gregory.</t>
        </is>
      </c>
      <c r="F1411" t="inlineStr">
        <is>
          <t>No</t>
        </is>
      </c>
      <c r="G1411" t="inlineStr">
        <is>
          <t>1</t>
        </is>
      </c>
      <c r="H1411" t="inlineStr">
        <is>
          <t>Yes</t>
        </is>
      </c>
      <c r="I1411" t="inlineStr">
        <is>
          <t>No</t>
        </is>
      </c>
      <c r="J1411" t="inlineStr">
        <is>
          <t>0</t>
        </is>
      </c>
      <c r="K1411" t="inlineStr">
        <is>
          <t>Gregory, Robert J.</t>
        </is>
      </c>
      <c r="L1411" t="inlineStr">
        <is>
          <t>Boston : Allyn and Bacon, c1987.</t>
        </is>
      </c>
      <c r="M1411" t="inlineStr">
        <is>
          <t>1987</t>
        </is>
      </c>
      <c r="O1411" t="inlineStr">
        <is>
          <t>eng</t>
        </is>
      </c>
      <c r="P1411" t="inlineStr">
        <is>
          <t>mau</t>
        </is>
      </c>
      <c r="R1411" t="inlineStr">
        <is>
          <t xml:space="preserve">BF </t>
        </is>
      </c>
      <c r="S1411" t="n">
        <v>3</v>
      </c>
      <c r="T1411" t="n">
        <v>15</v>
      </c>
      <c r="U1411" t="inlineStr">
        <is>
          <t>1999-09-26</t>
        </is>
      </c>
      <c r="V1411" t="inlineStr">
        <is>
          <t>2001-11-18</t>
        </is>
      </c>
      <c r="W1411" t="inlineStr">
        <is>
          <t>1988-01-05</t>
        </is>
      </c>
      <c r="X1411" t="inlineStr">
        <is>
          <t>1993-03-29</t>
        </is>
      </c>
      <c r="Y1411" t="n">
        <v>236</v>
      </c>
      <c r="Z1411" t="n">
        <v>199</v>
      </c>
      <c r="AA1411" t="n">
        <v>200</v>
      </c>
      <c r="AB1411" t="n">
        <v>4</v>
      </c>
      <c r="AC1411" t="n">
        <v>4</v>
      </c>
      <c r="AD1411" t="n">
        <v>9</v>
      </c>
      <c r="AE1411" t="n">
        <v>9</v>
      </c>
      <c r="AF1411" t="n">
        <v>2</v>
      </c>
      <c r="AG1411" t="n">
        <v>2</v>
      </c>
      <c r="AH1411" t="n">
        <v>2</v>
      </c>
      <c r="AI1411" t="n">
        <v>2</v>
      </c>
      <c r="AJ1411" t="n">
        <v>6</v>
      </c>
      <c r="AK1411" t="n">
        <v>6</v>
      </c>
      <c r="AL1411" t="n">
        <v>2</v>
      </c>
      <c r="AM1411" t="n">
        <v>2</v>
      </c>
      <c r="AN1411" t="n">
        <v>0</v>
      </c>
      <c r="AO1411" t="n">
        <v>0</v>
      </c>
      <c r="AP1411" t="inlineStr">
        <is>
          <t>No</t>
        </is>
      </c>
      <c r="AQ1411" t="inlineStr">
        <is>
          <t>Yes</t>
        </is>
      </c>
      <c r="AR1411">
        <f>HYPERLINK("http://catalog.hathitrust.org/Record/007131114","HathiTrust Record")</f>
        <v/>
      </c>
      <c r="AS1411">
        <f>HYPERLINK("https://creighton-primo.hosted.exlibrisgroup.com/primo-explore/search?tab=default_tab&amp;search_scope=EVERYTHING&amp;vid=01CRU&amp;lang=en_US&amp;offset=0&amp;query=any,contains,991001805479702656","Catalog Record")</f>
        <v/>
      </c>
      <c r="AT1411">
        <f>HYPERLINK("http://www.worldcat.org/oclc/14412922","WorldCat Record")</f>
        <v/>
      </c>
    </row>
    <row r="1412">
      <c r="A1412" t="inlineStr">
        <is>
          <t>No</t>
        </is>
      </c>
      <c r="B1412" t="inlineStr">
        <is>
          <t>BF431 .N38</t>
        </is>
      </c>
      <c r="C1412" t="inlineStr">
        <is>
          <t>0                      BF 0431000N  38</t>
        </is>
      </c>
      <c r="D1412" t="inlineStr">
        <is>
          <t>The Nature of intelligence / edited by Lauren B. Resnick.</t>
        </is>
      </c>
      <c r="F1412" t="inlineStr">
        <is>
          <t>No</t>
        </is>
      </c>
      <c r="G1412" t="inlineStr">
        <is>
          <t>1</t>
        </is>
      </c>
      <c r="H1412" t="inlineStr">
        <is>
          <t>Yes</t>
        </is>
      </c>
      <c r="I1412" t="inlineStr">
        <is>
          <t>No</t>
        </is>
      </c>
      <c r="J1412" t="inlineStr">
        <is>
          <t>0</t>
        </is>
      </c>
      <c r="L1412" t="inlineStr">
        <is>
          <t>Hillsdale, N.J. : Lawrence Erlbaum Associates ; New York : distributed by Halsted Press Division of J. Wiley, 1976.</t>
        </is>
      </c>
      <c r="M1412" t="inlineStr">
        <is>
          <t>1976</t>
        </is>
      </c>
      <c r="O1412" t="inlineStr">
        <is>
          <t>eng</t>
        </is>
      </c>
      <c r="P1412" t="inlineStr">
        <is>
          <t>nju</t>
        </is>
      </c>
      <c r="R1412" t="inlineStr">
        <is>
          <t xml:space="preserve">BF </t>
        </is>
      </c>
      <c r="S1412" t="n">
        <v>0</v>
      </c>
      <c r="T1412" t="n">
        <v>6</v>
      </c>
      <c r="V1412" t="inlineStr">
        <is>
          <t>1998-10-06</t>
        </is>
      </c>
      <c r="W1412" t="inlineStr">
        <is>
          <t>2004-10-14</t>
        </is>
      </c>
      <c r="X1412" t="inlineStr">
        <is>
          <t>2004-10-14</t>
        </is>
      </c>
      <c r="Y1412" t="n">
        <v>736</v>
      </c>
      <c r="Z1412" t="n">
        <v>562</v>
      </c>
      <c r="AA1412" t="n">
        <v>562</v>
      </c>
      <c r="AB1412" t="n">
        <v>4</v>
      </c>
      <c r="AC1412" t="n">
        <v>4</v>
      </c>
      <c r="AD1412" t="n">
        <v>28</v>
      </c>
      <c r="AE1412" t="n">
        <v>28</v>
      </c>
      <c r="AF1412" t="n">
        <v>13</v>
      </c>
      <c r="AG1412" t="n">
        <v>13</v>
      </c>
      <c r="AH1412" t="n">
        <v>8</v>
      </c>
      <c r="AI1412" t="n">
        <v>8</v>
      </c>
      <c r="AJ1412" t="n">
        <v>14</v>
      </c>
      <c r="AK1412" t="n">
        <v>14</v>
      </c>
      <c r="AL1412" t="n">
        <v>2</v>
      </c>
      <c r="AM1412" t="n">
        <v>2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No</t>
        </is>
      </c>
      <c r="AS1412">
        <f>HYPERLINK("https://creighton-primo.hosted.exlibrisgroup.com/primo-explore/search?tab=default_tab&amp;search_scope=EVERYTHING&amp;vid=01CRU&amp;lang=en_US&amp;offset=0&amp;query=any,contains,991001653719702656","Catalog Record")</f>
        <v/>
      </c>
      <c r="AT1412">
        <f>HYPERLINK("http://www.worldcat.org/oclc/2310630","WorldCat Record")</f>
        <v/>
      </c>
    </row>
    <row r="1413">
      <c r="A1413" t="inlineStr">
        <is>
          <t>No</t>
        </is>
      </c>
      <c r="B1413" t="inlineStr">
        <is>
          <t>BF431.5.U6 V152j 2000</t>
        </is>
      </c>
      <c r="C1413" t="inlineStr">
        <is>
          <t>0                      BF 0431500U  6                  V  152j        2000</t>
        </is>
      </c>
      <c r="D1413" t="inlineStr">
        <is>
          <t>Intelligence testing and minority students : foundations, performance factors, and assessment issues / Richard R. Valencia, Lisa A. Suzuki.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1</t>
        </is>
      </c>
      <c r="K1413" t="inlineStr">
        <is>
          <t>Valencia, Richard R.</t>
        </is>
      </c>
      <c r="L1413" t="inlineStr">
        <is>
          <t>Thousand Oaks, Calif. : Sage Publications, c2001.</t>
        </is>
      </c>
      <c r="M1413" t="inlineStr">
        <is>
          <t>2001</t>
        </is>
      </c>
      <c r="O1413" t="inlineStr">
        <is>
          <t>eng</t>
        </is>
      </c>
      <c r="P1413" t="inlineStr">
        <is>
          <t>cau</t>
        </is>
      </c>
      <c r="Q1413" t="inlineStr">
        <is>
          <t>Racial and ethnic minority psychology series</t>
        </is>
      </c>
      <c r="R1413" t="inlineStr">
        <is>
          <t xml:space="preserve">BF </t>
        </is>
      </c>
      <c r="S1413" t="n">
        <v>1</v>
      </c>
      <c r="T1413" t="n">
        <v>1</v>
      </c>
      <c r="U1413" t="inlineStr">
        <is>
          <t>2006-05-25</t>
        </is>
      </c>
      <c r="V1413" t="inlineStr">
        <is>
          <t>2006-05-25</t>
        </is>
      </c>
      <c r="W1413" t="inlineStr">
        <is>
          <t>2006-04-20</t>
        </is>
      </c>
      <c r="X1413" t="inlineStr">
        <is>
          <t>2006-04-20</t>
        </is>
      </c>
      <c r="Y1413" t="n">
        <v>394</v>
      </c>
      <c r="Z1413" t="n">
        <v>338</v>
      </c>
      <c r="AA1413" t="n">
        <v>1034</v>
      </c>
      <c r="AB1413" t="n">
        <v>4</v>
      </c>
      <c r="AC1413" t="n">
        <v>15</v>
      </c>
      <c r="AD1413" t="n">
        <v>16</v>
      </c>
      <c r="AE1413" t="n">
        <v>41</v>
      </c>
      <c r="AF1413" t="n">
        <v>3</v>
      </c>
      <c r="AG1413" t="n">
        <v>12</v>
      </c>
      <c r="AH1413" t="n">
        <v>5</v>
      </c>
      <c r="AI1413" t="n">
        <v>9</v>
      </c>
      <c r="AJ1413" t="n">
        <v>11</v>
      </c>
      <c r="AK1413" t="n">
        <v>16</v>
      </c>
      <c r="AL1413" t="n">
        <v>3</v>
      </c>
      <c r="AM1413" t="n">
        <v>13</v>
      </c>
      <c r="AN1413" t="n">
        <v>0</v>
      </c>
      <c r="AO1413" t="n">
        <v>1</v>
      </c>
      <c r="AP1413" t="inlineStr">
        <is>
          <t>No</t>
        </is>
      </c>
      <c r="AQ1413" t="inlineStr">
        <is>
          <t>No</t>
        </is>
      </c>
      <c r="AS1413">
        <f>HYPERLINK("https://creighton-primo.hosted.exlibrisgroup.com/primo-explore/search?tab=default_tab&amp;search_scope=EVERYTHING&amp;vid=01CRU&amp;lang=en_US&amp;offset=0&amp;query=any,contains,991000476119702656","Catalog Record")</f>
        <v/>
      </c>
      <c r="AT1413">
        <f>HYPERLINK("http://www.worldcat.org/oclc/43859346","WorldCat Record")</f>
        <v/>
      </c>
    </row>
    <row r="1414">
      <c r="A1414" t="inlineStr">
        <is>
          <t>No</t>
        </is>
      </c>
      <c r="B1414" t="inlineStr">
        <is>
          <t>BF455 .L8 1982</t>
        </is>
      </c>
      <c r="C1414" t="inlineStr">
        <is>
          <t>0                      BF 0455000L  8           1982</t>
        </is>
      </c>
      <c r="D1414" t="inlineStr">
        <is>
          <t>Language and cognition / Alexander R. Luria ; edited by James V. Wertsch.</t>
        </is>
      </c>
      <c r="F1414" t="inlineStr">
        <is>
          <t>No</t>
        </is>
      </c>
      <c r="G1414" t="inlineStr">
        <is>
          <t>1</t>
        </is>
      </c>
      <c r="H1414" t="inlineStr">
        <is>
          <t>Yes</t>
        </is>
      </c>
      <c r="I1414" t="inlineStr">
        <is>
          <t>No</t>
        </is>
      </c>
      <c r="J1414" t="inlineStr">
        <is>
          <t>0</t>
        </is>
      </c>
      <c r="K1414" t="inlineStr">
        <is>
          <t>Lurii︠a︡, A. R. (Aleksandr Romanovich), 1902-1977.</t>
        </is>
      </c>
      <c r="L1414" t="inlineStr">
        <is>
          <t>Washington, D.C. : V.H. Winston ; New York : John Wiley, 1981, c1982.</t>
        </is>
      </c>
      <c r="M1414" t="inlineStr">
        <is>
          <t>1981</t>
        </is>
      </c>
      <c r="O1414" t="inlineStr">
        <is>
          <t>eng</t>
        </is>
      </c>
      <c r="P1414" t="inlineStr">
        <is>
          <t>dcu</t>
        </is>
      </c>
      <c r="R1414" t="inlineStr">
        <is>
          <t xml:space="preserve">BF </t>
        </is>
      </c>
      <c r="S1414" t="n">
        <v>3</v>
      </c>
      <c r="T1414" t="n">
        <v>8</v>
      </c>
      <c r="U1414" t="inlineStr">
        <is>
          <t>1997-12-03</t>
        </is>
      </c>
      <c r="V1414" t="inlineStr">
        <is>
          <t>1997-12-03</t>
        </is>
      </c>
      <c r="W1414" t="inlineStr">
        <is>
          <t>1987-08-20</t>
        </is>
      </c>
      <c r="X1414" t="inlineStr">
        <is>
          <t>1991-07-31</t>
        </is>
      </c>
      <c r="Y1414" t="n">
        <v>857</v>
      </c>
      <c r="Z1414" t="n">
        <v>785</v>
      </c>
      <c r="AA1414" t="n">
        <v>800</v>
      </c>
      <c r="AB1414" t="n">
        <v>7</v>
      </c>
      <c r="AC1414" t="n">
        <v>7</v>
      </c>
      <c r="AD1414" t="n">
        <v>43</v>
      </c>
      <c r="AE1414" t="n">
        <v>43</v>
      </c>
      <c r="AF1414" t="n">
        <v>18</v>
      </c>
      <c r="AG1414" t="n">
        <v>18</v>
      </c>
      <c r="AH1414" t="n">
        <v>11</v>
      </c>
      <c r="AI1414" t="n">
        <v>11</v>
      </c>
      <c r="AJ1414" t="n">
        <v>21</v>
      </c>
      <c r="AK1414" t="n">
        <v>21</v>
      </c>
      <c r="AL1414" t="n">
        <v>5</v>
      </c>
      <c r="AM1414" t="n">
        <v>5</v>
      </c>
      <c r="AN1414" t="n">
        <v>0</v>
      </c>
      <c r="AO1414" t="n">
        <v>0</v>
      </c>
      <c r="AP1414" t="inlineStr">
        <is>
          <t>No</t>
        </is>
      </c>
      <c r="AQ1414" t="inlineStr">
        <is>
          <t>No</t>
        </is>
      </c>
      <c r="AS1414">
        <f>HYPERLINK("https://creighton-primo.hosted.exlibrisgroup.com/primo-explore/search?tab=default_tab&amp;search_scope=EVERYTHING&amp;vid=01CRU&amp;lang=en_US&amp;offset=0&amp;query=any,contains,991001762209702656","Catalog Record")</f>
        <v/>
      </c>
      <c r="AT1414">
        <f>HYPERLINK("http://www.worldcat.org/oclc/8155099","WorldCat Record")</f>
        <v/>
      </c>
    </row>
    <row r="1415">
      <c r="A1415" t="inlineStr">
        <is>
          <t>No</t>
        </is>
      </c>
      <c r="B1415" t="inlineStr">
        <is>
          <t>BF455 .R853 1986</t>
        </is>
      </c>
      <c r="C1415" t="inlineStr">
        <is>
          <t>0                      BF 0455000R  853         1986</t>
        </is>
      </c>
      <c r="D1415" t="inlineStr">
        <is>
          <t>Parallel distributed processing : explorations in the microstructure of cognition / David E. Rumelhart, James L. McClelland, and the PDP Research Group.</t>
        </is>
      </c>
      <c r="F1415" t="inlineStr">
        <is>
          <t>Yes</t>
        </is>
      </c>
      <c r="G1415" t="inlineStr">
        <is>
          <t>1</t>
        </is>
      </c>
      <c r="H1415" t="inlineStr">
        <is>
          <t>Yes</t>
        </is>
      </c>
      <c r="I1415" t="inlineStr">
        <is>
          <t>No</t>
        </is>
      </c>
      <c r="J1415" t="inlineStr">
        <is>
          <t>0</t>
        </is>
      </c>
      <c r="K1415" t="inlineStr">
        <is>
          <t>Rumelhart, David E.</t>
        </is>
      </c>
      <c r="L1415" t="inlineStr">
        <is>
          <t>Cambridge, Mass. : MIT Press, c1986, 1988 printing.</t>
        </is>
      </c>
      <c r="M1415" t="inlineStr">
        <is>
          <t>1986</t>
        </is>
      </c>
      <c r="O1415" t="inlineStr">
        <is>
          <t>eng</t>
        </is>
      </c>
      <c r="P1415" t="inlineStr">
        <is>
          <t>mau</t>
        </is>
      </c>
      <c r="Q1415" t="inlineStr">
        <is>
          <t>Computational models of cognition and perception</t>
        </is>
      </c>
      <c r="R1415" t="inlineStr">
        <is>
          <t xml:space="preserve">BF </t>
        </is>
      </c>
      <c r="S1415" t="n">
        <v>4</v>
      </c>
      <c r="T1415" t="n">
        <v>7</v>
      </c>
      <c r="U1415" t="inlineStr">
        <is>
          <t>2002-04-20</t>
        </is>
      </c>
      <c r="V1415" t="inlineStr">
        <is>
          <t>2002-04-20</t>
        </is>
      </c>
      <c r="W1415" t="inlineStr">
        <is>
          <t>1987-08-28</t>
        </is>
      </c>
      <c r="X1415" t="inlineStr">
        <is>
          <t>1993-06-07</t>
        </is>
      </c>
      <c r="Y1415" t="n">
        <v>978</v>
      </c>
      <c r="Z1415" t="n">
        <v>763</v>
      </c>
      <c r="AA1415" t="n">
        <v>800</v>
      </c>
      <c r="AB1415" t="n">
        <v>6</v>
      </c>
      <c r="AC1415" t="n">
        <v>6</v>
      </c>
      <c r="AD1415" t="n">
        <v>36</v>
      </c>
      <c r="AE1415" t="n">
        <v>36</v>
      </c>
      <c r="AF1415" t="n">
        <v>17</v>
      </c>
      <c r="AG1415" t="n">
        <v>17</v>
      </c>
      <c r="AH1415" t="n">
        <v>9</v>
      </c>
      <c r="AI1415" t="n">
        <v>9</v>
      </c>
      <c r="AJ1415" t="n">
        <v>18</v>
      </c>
      <c r="AK1415" t="n">
        <v>18</v>
      </c>
      <c r="AL1415" t="n">
        <v>3</v>
      </c>
      <c r="AM1415" t="n">
        <v>3</v>
      </c>
      <c r="AN1415" t="n">
        <v>0</v>
      </c>
      <c r="AO1415" t="n">
        <v>0</v>
      </c>
      <c r="AP1415" t="inlineStr">
        <is>
          <t>No</t>
        </is>
      </c>
      <c r="AQ1415" t="inlineStr">
        <is>
          <t>No</t>
        </is>
      </c>
      <c r="AS1415">
        <f>HYPERLINK("https://creighton-primo.hosted.exlibrisgroup.com/primo-explore/search?tab=default_tab&amp;search_scope=EVERYTHING&amp;vid=01CRU&amp;lang=en_US&amp;offset=0&amp;query=any,contains,991001762259702656","Catalog Record")</f>
        <v/>
      </c>
      <c r="AT1415">
        <f>HYPERLINK("http://www.worldcat.org/oclc/12837549","WorldCat Record")</f>
        <v/>
      </c>
    </row>
    <row r="1416">
      <c r="A1416" t="inlineStr">
        <is>
          <t>No</t>
        </is>
      </c>
      <c r="B1416" t="inlineStr">
        <is>
          <t>BF51 .F84 1986</t>
        </is>
      </c>
      <c r="C1416" t="inlineStr">
        <is>
          <t>0                      BF 0051000F  84          1986</t>
        </is>
      </c>
      <c r="D1416" t="inlineStr">
        <is>
          <t>Psychology and religion : eight points of view / Andrew Reid Fuller.</t>
        </is>
      </c>
      <c r="F1416" t="inlineStr">
        <is>
          <t>No</t>
        </is>
      </c>
      <c r="G1416" t="inlineStr">
        <is>
          <t>1</t>
        </is>
      </c>
      <c r="H1416" t="inlineStr">
        <is>
          <t>Yes</t>
        </is>
      </c>
      <c r="I1416" t="inlineStr">
        <is>
          <t>No</t>
        </is>
      </c>
      <c r="J1416" t="inlineStr">
        <is>
          <t>0</t>
        </is>
      </c>
      <c r="K1416" t="inlineStr">
        <is>
          <t>Fuller, Andrew Reid.</t>
        </is>
      </c>
      <c r="L1416" t="inlineStr">
        <is>
          <t>Lanham, MD : University Press of America, c1986.</t>
        </is>
      </c>
      <c r="M1416" t="inlineStr">
        <is>
          <t>1986</t>
        </is>
      </c>
      <c r="N1416" t="inlineStr">
        <is>
          <t>2nd ed.</t>
        </is>
      </c>
      <c r="O1416" t="inlineStr">
        <is>
          <t>eng</t>
        </is>
      </c>
      <c r="P1416" t="inlineStr">
        <is>
          <t>mdu</t>
        </is>
      </c>
      <c r="R1416" t="inlineStr">
        <is>
          <t xml:space="preserve">BF </t>
        </is>
      </c>
      <c r="S1416" t="n">
        <v>4</v>
      </c>
      <c r="T1416" t="n">
        <v>10</v>
      </c>
      <c r="U1416" t="inlineStr">
        <is>
          <t>1992-03-01</t>
        </is>
      </c>
      <c r="V1416" t="inlineStr">
        <is>
          <t>1998-11-08</t>
        </is>
      </c>
      <c r="W1416" t="inlineStr">
        <is>
          <t>1987-08-21</t>
        </is>
      </c>
      <c r="X1416" t="inlineStr">
        <is>
          <t>1992-10-23</t>
        </is>
      </c>
      <c r="Y1416" t="n">
        <v>291</v>
      </c>
      <c r="Z1416" t="n">
        <v>241</v>
      </c>
      <c r="AA1416" t="n">
        <v>660</v>
      </c>
      <c r="AB1416" t="n">
        <v>3</v>
      </c>
      <c r="AC1416" t="n">
        <v>7</v>
      </c>
      <c r="AD1416" t="n">
        <v>10</v>
      </c>
      <c r="AE1416" t="n">
        <v>37</v>
      </c>
      <c r="AF1416" t="n">
        <v>5</v>
      </c>
      <c r="AG1416" t="n">
        <v>16</v>
      </c>
      <c r="AH1416" t="n">
        <v>1</v>
      </c>
      <c r="AI1416" t="n">
        <v>6</v>
      </c>
      <c r="AJ1416" t="n">
        <v>7</v>
      </c>
      <c r="AK1416" t="n">
        <v>18</v>
      </c>
      <c r="AL1416" t="n">
        <v>1</v>
      </c>
      <c r="AM1416" t="n">
        <v>5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No</t>
        </is>
      </c>
      <c r="AS1416">
        <f>HYPERLINK("https://creighton-primo.hosted.exlibrisgroup.com/primo-explore/search?tab=default_tab&amp;search_scope=EVERYTHING&amp;vid=01CRU&amp;lang=en_US&amp;offset=0&amp;query=any,contains,991001774969702656","Catalog Record")</f>
        <v/>
      </c>
      <c r="AT1416">
        <f>HYPERLINK("http://www.worldcat.org/oclc/13330804","WorldCat Record")</f>
        <v/>
      </c>
    </row>
    <row r="1417">
      <c r="A1417" t="inlineStr">
        <is>
          <t>No</t>
        </is>
      </c>
      <c r="B1417" t="inlineStr">
        <is>
          <t>BF515 .P79</t>
        </is>
      </c>
      <c r="C1417" t="inlineStr">
        <is>
          <t>0                      BF 0515000P  79</t>
        </is>
      </c>
      <c r="D1417" t="inlineStr">
        <is>
          <t>The Psychology of pain / edited by Richard A. Sternbach.</t>
        </is>
      </c>
      <c r="F1417" t="inlineStr">
        <is>
          <t>No</t>
        </is>
      </c>
      <c r="G1417" t="inlineStr">
        <is>
          <t>1</t>
        </is>
      </c>
      <c r="H1417" t="inlineStr">
        <is>
          <t>Yes</t>
        </is>
      </c>
      <c r="I1417" t="inlineStr">
        <is>
          <t>No</t>
        </is>
      </c>
      <c r="J1417" t="inlineStr">
        <is>
          <t>0</t>
        </is>
      </c>
      <c r="L1417" t="inlineStr">
        <is>
          <t>New York : Raven Press, c1978.</t>
        </is>
      </c>
      <c r="M1417" t="inlineStr">
        <is>
          <t>1978</t>
        </is>
      </c>
      <c r="O1417" t="inlineStr">
        <is>
          <t>eng</t>
        </is>
      </c>
      <c r="P1417" t="inlineStr">
        <is>
          <t>nyu</t>
        </is>
      </c>
      <c r="R1417" t="inlineStr">
        <is>
          <t xml:space="preserve">BF </t>
        </is>
      </c>
      <c r="S1417" t="n">
        <v>12</v>
      </c>
      <c r="T1417" t="n">
        <v>18</v>
      </c>
      <c r="U1417" t="inlineStr">
        <is>
          <t>1999-03-12</t>
        </is>
      </c>
      <c r="V1417" t="inlineStr">
        <is>
          <t>1999-03-12</t>
        </is>
      </c>
      <c r="W1417" t="inlineStr">
        <is>
          <t>1987-12-02</t>
        </is>
      </c>
      <c r="X1417" t="inlineStr">
        <is>
          <t>1990-04-26</t>
        </is>
      </c>
      <c r="Y1417" t="n">
        <v>487</v>
      </c>
      <c r="Z1417" t="n">
        <v>358</v>
      </c>
      <c r="AA1417" t="n">
        <v>501</v>
      </c>
      <c r="AB1417" t="n">
        <v>4</v>
      </c>
      <c r="AC1417" t="n">
        <v>4</v>
      </c>
      <c r="AD1417" t="n">
        <v>22</v>
      </c>
      <c r="AE1417" t="n">
        <v>27</v>
      </c>
      <c r="AF1417" t="n">
        <v>10</v>
      </c>
      <c r="AG1417" t="n">
        <v>12</v>
      </c>
      <c r="AH1417" t="n">
        <v>6</v>
      </c>
      <c r="AI1417" t="n">
        <v>6</v>
      </c>
      <c r="AJ1417" t="n">
        <v>10</v>
      </c>
      <c r="AK1417" t="n">
        <v>15</v>
      </c>
      <c r="AL1417" t="n">
        <v>2</v>
      </c>
      <c r="AM1417" t="n">
        <v>2</v>
      </c>
      <c r="AN1417" t="n">
        <v>0</v>
      </c>
      <c r="AO1417" t="n">
        <v>0</v>
      </c>
      <c r="AP1417" t="inlineStr">
        <is>
          <t>No</t>
        </is>
      </c>
      <c r="AQ1417" t="inlineStr">
        <is>
          <t>Yes</t>
        </is>
      </c>
      <c r="AR1417">
        <f>HYPERLINK("http://catalog.hathitrust.org/Record/000214651","HathiTrust Record")</f>
        <v/>
      </c>
      <c r="AS1417">
        <f>HYPERLINK("https://creighton-primo.hosted.exlibrisgroup.com/primo-explore/search?tab=default_tab&amp;search_scope=EVERYTHING&amp;vid=01CRU&amp;lang=en_US&amp;offset=0&amp;query=any,contains,991001791419702656","Catalog Record")</f>
        <v/>
      </c>
      <c r="AT1417">
        <f>HYPERLINK("http://www.worldcat.org/oclc/4136788","WorldCat Record")</f>
        <v/>
      </c>
    </row>
    <row r="1418">
      <c r="A1418" t="inlineStr">
        <is>
          <t>No</t>
        </is>
      </c>
      <c r="B1418" t="inlineStr">
        <is>
          <t>BF531 .O2</t>
        </is>
      </c>
      <c r="C1418" t="inlineStr">
        <is>
          <t>0                      BF 0531000O  2</t>
        </is>
      </c>
      <c r="D1418" t="inlineStr">
        <is>
          <t>Emotions and morals : their place and purpose in harmonious living.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K1418" t="inlineStr">
        <is>
          <t>O'Brien, Patrick, 1917-</t>
        </is>
      </c>
      <c r="L1418" t="inlineStr">
        <is>
          <t>New York : Grune &amp; Stratton, 1950.</t>
        </is>
      </c>
      <c r="M1418" t="inlineStr">
        <is>
          <t>1950</t>
        </is>
      </c>
      <c r="O1418" t="inlineStr">
        <is>
          <t>eng</t>
        </is>
      </c>
      <c r="P1418" t="inlineStr">
        <is>
          <t xml:space="preserve">xx </t>
        </is>
      </c>
      <c r="R1418" t="inlineStr">
        <is>
          <t xml:space="preserve">BF </t>
        </is>
      </c>
      <c r="S1418" t="n">
        <v>4</v>
      </c>
      <c r="T1418" t="n">
        <v>4</v>
      </c>
      <c r="U1418" t="inlineStr">
        <is>
          <t>1998-05-29</t>
        </is>
      </c>
      <c r="V1418" t="inlineStr">
        <is>
          <t>1998-05-29</t>
        </is>
      </c>
      <c r="W1418" t="inlineStr">
        <is>
          <t>1988-02-29</t>
        </is>
      </c>
      <c r="X1418" t="inlineStr">
        <is>
          <t>1988-02-29</t>
        </is>
      </c>
      <c r="Y1418" t="n">
        <v>131</v>
      </c>
      <c r="Z1418" t="n">
        <v>119</v>
      </c>
      <c r="AA1418" t="n">
        <v>119</v>
      </c>
      <c r="AB1418" t="n">
        <v>1</v>
      </c>
      <c r="AC1418" t="n">
        <v>1</v>
      </c>
      <c r="AD1418" t="n">
        <v>17</v>
      </c>
      <c r="AE1418" t="n">
        <v>17</v>
      </c>
      <c r="AF1418" t="n">
        <v>3</v>
      </c>
      <c r="AG1418" t="n">
        <v>3</v>
      </c>
      <c r="AH1418" t="n">
        <v>5</v>
      </c>
      <c r="AI1418" t="n">
        <v>5</v>
      </c>
      <c r="AJ1418" t="n">
        <v>14</v>
      </c>
      <c r="AK1418" t="n">
        <v>14</v>
      </c>
      <c r="AL1418" t="n">
        <v>0</v>
      </c>
      <c r="AM1418" t="n">
        <v>0</v>
      </c>
      <c r="AN1418" t="n">
        <v>0</v>
      </c>
      <c r="AO1418" t="n">
        <v>0</v>
      </c>
      <c r="AP1418" t="inlineStr">
        <is>
          <t>No</t>
        </is>
      </c>
      <c r="AQ1418" t="inlineStr">
        <is>
          <t>No</t>
        </is>
      </c>
      <c r="AS1418">
        <f>HYPERLINK("https://creighton-primo.hosted.exlibrisgroup.com/primo-explore/search?tab=default_tab&amp;search_scope=EVERYTHING&amp;vid=01CRU&amp;lang=en_US&amp;offset=0&amp;query=any,contains,991000787879702656","Catalog Record")</f>
        <v/>
      </c>
      <c r="AT1418">
        <f>HYPERLINK("http://www.worldcat.org/oclc/1406018","WorldCat Record")</f>
        <v/>
      </c>
    </row>
    <row r="1419">
      <c r="A1419" t="inlineStr">
        <is>
          <t>No</t>
        </is>
      </c>
      <c r="B1419" t="inlineStr">
        <is>
          <t>BF575 .G7 S979D 1970</t>
        </is>
      </c>
      <c r="C1419" t="inlineStr">
        <is>
          <t>0                      BF 0575000G  7                  S  979D        1970</t>
        </is>
      </c>
      <c r="D1419" t="inlineStr">
        <is>
          <t>The dynamics of grief / [by] David K. Switzer.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Switzer, David K., 1925-</t>
        </is>
      </c>
      <c r="L1419" t="inlineStr">
        <is>
          <t>Nashville : Abingdon Press, [1970]</t>
        </is>
      </c>
      <c r="M1419" t="inlineStr">
        <is>
          <t>1970</t>
        </is>
      </c>
      <c r="O1419" t="inlineStr">
        <is>
          <t>eng</t>
        </is>
      </c>
      <c r="P1419" t="inlineStr">
        <is>
          <t>tnu</t>
        </is>
      </c>
      <c r="R1419" t="inlineStr">
        <is>
          <t xml:space="preserve">BF </t>
        </is>
      </c>
      <c r="S1419" t="n">
        <v>8</v>
      </c>
      <c r="T1419" t="n">
        <v>8</v>
      </c>
      <c r="U1419" t="inlineStr">
        <is>
          <t>1998-04-08</t>
        </is>
      </c>
      <c r="V1419" t="inlineStr">
        <is>
          <t>1998-04-08</t>
        </is>
      </c>
      <c r="W1419" t="inlineStr">
        <is>
          <t>1988-02-29</t>
        </is>
      </c>
      <c r="X1419" t="inlineStr">
        <is>
          <t>1988-02-29</t>
        </is>
      </c>
      <c r="Y1419" t="n">
        <v>746</v>
      </c>
      <c r="Z1419" t="n">
        <v>668</v>
      </c>
      <c r="AA1419" t="n">
        <v>679</v>
      </c>
      <c r="AB1419" t="n">
        <v>3</v>
      </c>
      <c r="AC1419" t="n">
        <v>3</v>
      </c>
      <c r="AD1419" t="n">
        <v>27</v>
      </c>
      <c r="AE1419" t="n">
        <v>27</v>
      </c>
      <c r="AF1419" t="n">
        <v>12</v>
      </c>
      <c r="AG1419" t="n">
        <v>12</v>
      </c>
      <c r="AH1419" t="n">
        <v>5</v>
      </c>
      <c r="AI1419" t="n">
        <v>5</v>
      </c>
      <c r="AJ1419" t="n">
        <v>11</v>
      </c>
      <c r="AK1419" t="n">
        <v>11</v>
      </c>
      <c r="AL1419" t="n">
        <v>1</v>
      </c>
      <c r="AM1419" t="n">
        <v>1</v>
      </c>
      <c r="AN1419" t="n">
        <v>0</v>
      </c>
      <c r="AO1419" t="n">
        <v>0</v>
      </c>
      <c r="AP1419" t="inlineStr">
        <is>
          <t>No</t>
        </is>
      </c>
      <c r="AQ1419" t="inlineStr">
        <is>
          <t>Yes</t>
        </is>
      </c>
      <c r="AR1419">
        <f>HYPERLINK("http://catalog.hathitrust.org/Record/001920936","HathiTrust Record")</f>
        <v/>
      </c>
      <c r="AS1419">
        <f>HYPERLINK("https://creighton-primo.hosted.exlibrisgroup.com/primo-explore/search?tab=default_tab&amp;search_scope=EVERYTHING&amp;vid=01CRU&amp;lang=en_US&amp;offset=0&amp;query=any,contains,991000788469702656","Catalog Record")</f>
        <v/>
      </c>
      <c r="AT1419">
        <f>HYPERLINK("http://www.worldcat.org/oclc/106345","WorldCat Record")</f>
        <v/>
      </c>
    </row>
    <row r="1420">
      <c r="A1420" t="inlineStr">
        <is>
          <t>No</t>
        </is>
      </c>
      <c r="B1420" t="inlineStr">
        <is>
          <t>BF575 A3 B214a 1973</t>
        </is>
      </c>
      <c r="C1420" t="inlineStr">
        <is>
          <t>0                      BF 0575000A  3                  B  214a        1973</t>
        </is>
      </c>
      <c r="D1420" t="inlineStr">
        <is>
          <t>Aggression : a social learning analysis / Albert Bandura.</t>
        </is>
      </c>
      <c r="F1420" t="inlineStr">
        <is>
          <t>No</t>
        </is>
      </c>
      <c r="G1420" t="inlineStr">
        <is>
          <t>1</t>
        </is>
      </c>
      <c r="H1420" t="inlineStr">
        <is>
          <t>Yes</t>
        </is>
      </c>
      <c r="I1420" t="inlineStr">
        <is>
          <t>No</t>
        </is>
      </c>
      <c r="J1420" t="inlineStr">
        <is>
          <t>0</t>
        </is>
      </c>
      <c r="K1420" t="inlineStr">
        <is>
          <t>Bandura, Albert, 1925-</t>
        </is>
      </c>
      <c r="L1420" t="inlineStr">
        <is>
          <t>Englewood Cliffs, N.J. : Prentice-Hall, c1973.</t>
        </is>
      </c>
      <c r="M1420" t="inlineStr">
        <is>
          <t>1973</t>
        </is>
      </c>
      <c r="O1420" t="inlineStr">
        <is>
          <t>eng</t>
        </is>
      </c>
      <c r="P1420" t="inlineStr">
        <is>
          <t>nju</t>
        </is>
      </c>
      <c r="Q1420" t="inlineStr">
        <is>
          <t>The Prentice-Hall series in social learning theory</t>
        </is>
      </c>
      <c r="R1420" t="inlineStr">
        <is>
          <t xml:space="preserve">BF </t>
        </is>
      </c>
      <c r="S1420" t="n">
        <v>9</v>
      </c>
      <c r="T1420" t="n">
        <v>9</v>
      </c>
      <c r="U1420" t="inlineStr">
        <is>
          <t>1995-03-26</t>
        </is>
      </c>
      <c r="V1420" t="inlineStr">
        <is>
          <t>1995-03-26</t>
        </is>
      </c>
      <c r="W1420" t="inlineStr">
        <is>
          <t>1990-02-09</t>
        </is>
      </c>
      <c r="X1420" t="inlineStr">
        <is>
          <t>1990-02-09</t>
        </is>
      </c>
      <c r="Y1420" t="n">
        <v>1181</v>
      </c>
      <c r="Z1420" t="n">
        <v>940</v>
      </c>
      <c r="AA1420" t="n">
        <v>949</v>
      </c>
      <c r="AB1420" t="n">
        <v>10</v>
      </c>
      <c r="AC1420" t="n">
        <v>10</v>
      </c>
      <c r="AD1420" t="n">
        <v>32</v>
      </c>
      <c r="AE1420" t="n">
        <v>32</v>
      </c>
      <c r="AF1420" t="n">
        <v>11</v>
      </c>
      <c r="AG1420" t="n">
        <v>11</v>
      </c>
      <c r="AH1420" t="n">
        <v>7</v>
      </c>
      <c r="AI1420" t="n">
        <v>7</v>
      </c>
      <c r="AJ1420" t="n">
        <v>17</v>
      </c>
      <c r="AK1420" t="n">
        <v>17</v>
      </c>
      <c r="AL1420" t="n">
        <v>7</v>
      </c>
      <c r="AM1420" t="n">
        <v>7</v>
      </c>
      <c r="AN1420" t="n">
        <v>0</v>
      </c>
      <c r="AO1420" t="n">
        <v>0</v>
      </c>
      <c r="AP1420" t="inlineStr">
        <is>
          <t>No</t>
        </is>
      </c>
      <c r="AQ1420" t="inlineStr">
        <is>
          <t>Yes</t>
        </is>
      </c>
      <c r="AR1420">
        <f>HYPERLINK("http://catalog.hathitrust.org/Record/000974073","HathiTrust Record")</f>
        <v/>
      </c>
      <c r="AS1420">
        <f>HYPERLINK("https://creighton-primo.hosted.exlibrisgroup.com/primo-explore/search?tab=default_tab&amp;search_scope=EVERYTHING&amp;vid=01CRU&amp;lang=en_US&amp;offset=0&amp;query=any,contains,991001446929702656","Catalog Record")</f>
        <v/>
      </c>
      <c r="AT1420">
        <f>HYPERLINK("http://www.worldcat.org/oclc/42863067","WorldCat Record")</f>
        <v/>
      </c>
    </row>
    <row r="1421">
      <c r="A1421" t="inlineStr">
        <is>
          <t>No</t>
        </is>
      </c>
      <c r="B1421" t="inlineStr">
        <is>
          <t>BF575.G7  D129a 2003</t>
        </is>
      </c>
      <c r="C1421" t="inlineStr">
        <is>
          <t>0                      BF 0575000G  7                  D  129a        2003</t>
        </is>
      </c>
      <c r="D1421" t="inlineStr">
        <is>
          <t>And the passenger was death : the drama and trauma of losing a child / Douglas Daher.</t>
        </is>
      </c>
      <c r="F1421" t="inlineStr">
        <is>
          <t>No</t>
        </is>
      </c>
      <c r="G1421" t="inlineStr">
        <is>
          <t>1</t>
        </is>
      </c>
      <c r="H1421" t="inlineStr">
        <is>
          <t>No</t>
        </is>
      </c>
      <c r="I1421" t="inlineStr">
        <is>
          <t>No</t>
        </is>
      </c>
      <c r="J1421" t="inlineStr">
        <is>
          <t>0</t>
        </is>
      </c>
      <c r="K1421" t="inlineStr">
        <is>
          <t>Daher, Douglas, 1949-</t>
        </is>
      </c>
      <c r="L1421" t="inlineStr">
        <is>
          <t>Amityville, N.Y. : Baywood Pub., c2003.</t>
        </is>
      </c>
      <c r="M1421" t="inlineStr">
        <is>
          <t>2003</t>
        </is>
      </c>
      <c r="O1421" t="inlineStr">
        <is>
          <t>eng</t>
        </is>
      </c>
      <c r="P1421" t="inlineStr">
        <is>
          <t>nyu</t>
        </is>
      </c>
      <c r="R1421" t="inlineStr">
        <is>
          <t xml:space="preserve">BF </t>
        </is>
      </c>
      <c r="S1421" t="n">
        <v>1</v>
      </c>
      <c r="T1421" t="n">
        <v>1</v>
      </c>
      <c r="U1421" t="inlineStr">
        <is>
          <t>2004-02-27</t>
        </is>
      </c>
      <c r="V1421" t="inlineStr">
        <is>
          <t>2004-02-27</t>
        </is>
      </c>
      <c r="W1421" t="inlineStr">
        <is>
          <t>2004-02-24</t>
        </is>
      </c>
      <c r="X1421" t="inlineStr">
        <is>
          <t>2004-02-24</t>
        </is>
      </c>
      <c r="Y1421" t="n">
        <v>59</v>
      </c>
      <c r="Z1421" t="n">
        <v>50</v>
      </c>
      <c r="AA1421" t="n">
        <v>74</v>
      </c>
      <c r="AB1421" t="n">
        <v>2</v>
      </c>
      <c r="AC1421" t="n">
        <v>2</v>
      </c>
      <c r="AD1421" t="n">
        <v>1</v>
      </c>
      <c r="AE1421" t="n">
        <v>2</v>
      </c>
      <c r="AF1421" t="n">
        <v>0</v>
      </c>
      <c r="AG1421" t="n">
        <v>1</v>
      </c>
      <c r="AH1421" t="n">
        <v>0</v>
      </c>
      <c r="AI1421" t="n">
        <v>0</v>
      </c>
      <c r="AJ1421" t="n">
        <v>0</v>
      </c>
      <c r="AK1421" t="n">
        <v>0</v>
      </c>
      <c r="AL1421" t="n">
        <v>1</v>
      </c>
      <c r="AM1421" t="n">
        <v>1</v>
      </c>
      <c r="AN1421" t="n">
        <v>0</v>
      </c>
      <c r="AO1421" t="n">
        <v>0</v>
      </c>
      <c r="AP1421" t="inlineStr">
        <is>
          <t>No</t>
        </is>
      </c>
      <c r="AQ1421" t="inlineStr">
        <is>
          <t>No</t>
        </is>
      </c>
      <c r="AS1421">
        <f>HYPERLINK("https://creighton-primo.hosted.exlibrisgroup.com/primo-explore/search?tab=default_tab&amp;search_scope=EVERYTHING&amp;vid=01CRU&amp;lang=en_US&amp;offset=0&amp;query=any,contains,991000366699702656","Catalog Record")</f>
        <v/>
      </c>
      <c r="AT1421">
        <f>HYPERLINK("http://www.worldcat.org/oclc/51653253","WorldCat Record")</f>
        <v/>
      </c>
    </row>
    <row r="1422">
      <c r="A1422" t="inlineStr">
        <is>
          <t>No</t>
        </is>
      </c>
      <c r="B1422" t="inlineStr">
        <is>
          <t>BF575.G7 L232 2004</t>
        </is>
      </c>
      <c r="C1422" t="inlineStr">
        <is>
          <t>0                      BF 0575000G  7                  L  232         2004</t>
        </is>
      </c>
      <c r="D1422" t="inlineStr">
        <is>
          <t>Consolation : the spiritual journey beyond grief / Maurice Lamm.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1</t>
        </is>
      </c>
      <c r="K1422" t="inlineStr">
        <is>
          <t>Lamm, Maurice.</t>
        </is>
      </c>
      <c r="L1422" t="inlineStr">
        <is>
          <t>Philadelphia : The Jewish Publication Society, 2004.</t>
        </is>
      </c>
      <c r="M1422" t="inlineStr">
        <is>
          <t>2004</t>
        </is>
      </c>
      <c r="N1422" t="inlineStr">
        <is>
          <t>1st ed.</t>
        </is>
      </c>
      <c r="O1422" t="inlineStr">
        <is>
          <t>eng</t>
        </is>
      </c>
      <c r="P1422" t="inlineStr">
        <is>
          <t>pau</t>
        </is>
      </c>
      <c r="R1422" t="inlineStr">
        <is>
          <t xml:space="preserve">BF </t>
        </is>
      </c>
      <c r="S1422" t="n">
        <v>0</v>
      </c>
      <c r="T1422" t="n">
        <v>0</v>
      </c>
      <c r="U1422" t="inlineStr">
        <is>
          <t>2008-08-25</t>
        </is>
      </c>
      <c r="V1422" t="inlineStr">
        <is>
          <t>2008-08-25</t>
        </is>
      </c>
      <c r="W1422" t="inlineStr">
        <is>
          <t>2006-04-27</t>
        </is>
      </c>
      <c r="X1422" t="inlineStr">
        <is>
          <t>2006-04-27</t>
        </is>
      </c>
      <c r="Y1422" t="n">
        <v>194</v>
      </c>
      <c r="Z1422" t="n">
        <v>173</v>
      </c>
      <c r="AA1422" t="n">
        <v>1180</v>
      </c>
      <c r="AB1422" t="n">
        <v>1</v>
      </c>
      <c r="AC1422" t="n">
        <v>14</v>
      </c>
      <c r="AD1422" t="n">
        <v>4</v>
      </c>
      <c r="AE1422" t="n">
        <v>42</v>
      </c>
      <c r="AF1422" t="n">
        <v>2</v>
      </c>
      <c r="AG1422" t="n">
        <v>13</v>
      </c>
      <c r="AH1422" t="n">
        <v>1</v>
      </c>
      <c r="AI1422" t="n">
        <v>9</v>
      </c>
      <c r="AJ1422" t="n">
        <v>2</v>
      </c>
      <c r="AK1422" t="n">
        <v>13</v>
      </c>
      <c r="AL1422" t="n">
        <v>0</v>
      </c>
      <c r="AM1422" t="n">
        <v>12</v>
      </c>
      <c r="AN1422" t="n">
        <v>0</v>
      </c>
      <c r="AO1422" t="n">
        <v>2</v>
      </c>
      <c r="AP1422" t="inlineStr">
        <is>
          <t>No</t>
        </is>
      </c>
      <c r="AQ1422" t="inlineStr">
        <is>
          <t>No</t>
        </is>
      </c>
      <c r="AS1422">
        <f>HYPERLINK("https://creighton-primo.hosted.exlibrisgroup.com/primo-explore/search?tab=default_tab&amp;search_scope=EVERYTHING&amp;vid=01CRU&amp;lang=en_US&amp;offset=0&amp;query=any,contains,991000477899702656","Catalog Record")</f>
        <v/>
      </c>
      <c r="AT1422">
        <f>HYPERLINK("http://www.worldcat.org/oclc/53131648","WorldCat Record")</f>
        <v/>
      </c>
    </row>
    <row r="1423">
      <c r="A1423" t="inlineStr">
        <is>
          <t>No</t>
        </is>
      </c>
      <c r="B1423" t="inlineStr">
        <is>
          <t>BF575.G7 P35 1986</t>
        </is>
      </c>
      <c r="C1423" t="inlineStr">
        <is>
          <t>0                      BF 0575000G  7                  P  35          1986</t>
        </is>
      </c>
      <c r="D1423" t="inlineStr">
        <is>
          <t>Parental loss of a child / edited by Therese A. Rando.</t>
        </is>
      </c>
      <c r="F1423" t="inlineStr">
        <is>
          <t>No</t>
        </is>
      </c>
      <c r="G1423" t="inlineStr">
        <is>
          <t>1</t>
        </is>
      </c>
      <c r="H1423" t="inlineStr">
        <is>
          <t>Yes</t>
        </is>
      </c>
      <c r="I1423" t="inlineStr">
        <is>
          <t>No</t>
        </is>
      </c>
      <c r="J1423" t="inlineStr">
        <is>
          <t>0</t>
        </is>
      </c>
      <c r="L1423" t="inlineStr">
        <is>
          <t>Champaign, Ill. : Research Press Co., c1986.</t>
        </is>
      </c>
      <c r="M1423" t="inlineStr">
        <is>
          <t>1986</t>
        </is>
      </c>
      <c r="O1423" t="inlineStr">
        <is>
          <t>eng</t>
        </is>
      </c>
      <c r="P1423" t="inlineStr">
        <is>
          <t>ilu</t>
        </is>
      </c>
      <c r="R1423" t="inlineStr">
        <is>
          <t xml:space="preserve">BF </t>
        </is>
      </c>
      <c r="S1423" t="n">
        <v>11</v>
      </c>
      <c r="T1423" t="n">
        <v>32</v>
      </c>
      <c r="U1423" t="inlineStr">
        <is>
          <t>2000-03-03</t>
        </is>
      </c>
      <c r="V1423" t="inlineStr">
        <is>
          <t>2002-03-21</t>
        </is>
      </c>
      <c r="W1423" t="inlineStr">
        <is>
          <t>1987-08-28</t>
        </is>
      </c>
      <c r="X1423" t="inlineStr">
        <is>
          <t>1993-04-16</t>
        </is>
      </c>
      <c r="Y1423" t="n">
        <v>630</v>
      </c>
      <c r="Z1423" t="n">
        <v>559</v>
      </c>
      <c r="AA1423" t="n">
        <v>565</v>
      </c>
      <c r="AB1423" t="n">
        <v>7</v>
      </c>
      <c r="AC1423" t="n">
        <v>7</v>
      </c>
      <c r="AD1423" t="n">
        <v>27</v>
      </c>
      <c r="AE1423" t="n">
        <v>27</v>
      </c>
      <c r="AF1423" t="n">
        <v>14</v>
      </c>
      <c r="AG1423" t="n">
        <v>14</v>
      </c>
      <c r="AH1423" t="n">
        <v>4</v>
      </c>
      <c r="AI1423" t="n">
        <v>4</v>
      </c>
      <c r="AJ1423" t="n">
        <v>12</v>
      </c>
      <c r="AK1423" t="n">
        <v>12</v>
      </c>
      <c r="AL1423" t="n">
        <v>4</v>
      </c>
      <c r="AM1423" t="n">
        <v>4</v>
      </c>
      <c r="AN1423" t="n">
        <v>0</v>
      </c>
      <c r="AO1423" t="n">
        <v>0</v>
      </c>
      <c r="AP1423" t="inlineStr">
        <is>
          <t>No</t>
        </is>
      </c>
      <c r="AQ1423" t="inlineStr">
        <is>
          <t>Yes</t>
        </is>
      </c>
      <c r="AR1423">
        <f>HYPERLINK("http://catalog.hathitrust.org/Record/007104551","HathiTrust Record")</f>
        <v/>
      </c>
      <c r="AS1423">
        <f>HYPERLINK("https://creighton-primo.hosted.exlibrisgroup.com/primo-explore/search?tab=default_tab&amp;search_scope=EVERYTHING&amp;vid=01CRU&amp;lang=en_US&amp;offset=0&amp;query=any,contains,991001762339702656","Catalog Record")</f>
        <v/>
      </c>
      <c r="AT1423">
        <f>HYPERLINK("http://www.worldcat.org/oclc/14248435","WorldCat Record")</f>
        <v/>
      </c>
    </row>
    <row r="1424">
      <c r="A1424" t="inlineStr">
        <is>
          <t>No</t>
        </is>
      </c>
      <c r="B1424" t="inlineStr">
        <is>
          <t>BF575.G7 P37</t>
        </is>
      </c>
      <c r="C1424" t="inlineStr">
        <is>
          <t>0                      BF 0575000G  7                  P  37</t>
        </is>
      </c>
      <c r="D1424" t="inlineStr">
        <is>
          <t>Bereavement : studies of grief in adult life / foreword by John Bowlby.</t>
        </is>
      </c>
      <c r="F1424" t="inlineStr">
        <is>
          <t>No</t>
        </is>
      </c>
      <c r="G1424" t="inlineStr">
        <is>
          <t>1</t>
        </is>
      </c>
      <c r="H1424" t="inlineStr">
        <is>
          <t>Yes</t>
        </is>
      </c>
      <c r="I1424" t="inlineStr">
        <is>
          <t>No</t>
        </is>
      </c>
      <c r="J1424" t="inlineStr">
        <is>
          <t>1</t>
        </is>
      </c>
      <c r="K1424" t="inlineStr">
        <is>
          <t>Parkes, Colin Murray.</t>
        </is>
      </c>
      <c r="L1424" t="inlineStr">
        <is>
          <t>New York : International Universities Press, [1972]</t>
        </is>
      </c>
      <c r="M1424" t="inlineStr">
        <is>
          <t>1972</t>
        </is>
      </c>
      <c r="O1424" t="inlineStr">
        <is>
          <t>eng</t>
        </is>
      </c>
      <c r="P1424" t="inlineStr">
        <is>
          <t>nyu</t>
        </is>
      </c>
      <c r="R1424" t="inlineStr">
        <is>
          <t xml:space="preserve">BF </t>
        </is>
      </c>
      <c r="S1424" t="n">
        <v>4</v>
      </c>
      <c r="T1424" t="n">
        <v>21</v>
      </c>
      <c r="U1424" t="inlineStr">
        <is>
          <t>1992-10-30</t>
        </is>
      </c>
      <c r="V1424" t="inlineStr">
        <is>
          <t>2009-11-04</t>
        </is>
      </c>
      <c r="W1424" t="inlineStr">
        <is>
          <t>1987-11-03</t>
        </is>
      </c>
      <c r="X1424" t="inlineStr">
        <is>
          <t>1990-09-21</t>
        </is>
      </c>
      <c r="Y1424" t="n">
        <v>920</v>
      </c>
      <c r="Z1424" t="n">
        <v>833</v>
      </c>
      <c r="AA1424" t="n">
        <v>1595</v>
      </c>
      <c r="AB1424" t="n">
        <v>4</v>
      </c>
      <c r="AC1424" t="n">
        <v>16</v>
      </c>
      <c r="AD1424" t="n">
        <v>29</v>
      </c>
      <c r="AE1424" t="n">
        <v>58</v>
      </c>
      <c r="AF1424" t="n">
        <v>11</v>
      </c>
      <c r="AG1424" t="n">
        <v>20</v>
      </c>
      <c r="AH1424" t="n">
        <v>6</v>
      </c>
      <c r="AI1424" t="n">
        <v>10</v>
      </c>
      <c r="AJ1424" t="n">
        <v>15</v>
      </c>
      <c r="AK1424" t="n">
        <v>22</v>
      </c>
      <c r="AL1424" t="n">
        <v>2</v>
      </c>
      <c r="AM1424" t="n">
        <v>14</v>
      </c>
      <c r="AN1424" t="n">
        <v>0</v>
      </c>
      <c r="AO1424" t="n">
        <v>1</v>
      </c>
      <c r="AP1424" t="inlineStr">
        <is>
          <t>No</t>
        </is>
      </c>
      <c r="AQ1424" t="inlineStr">
        <is>
          <t>Yes</t>
        </is>
      </c>
      <c r="AR1424">
        <f>HYPERLINK("http://catalog.hathitrust.org/Record/000360565","HathiTrust Record")</f>
        <v/>
      </c>
      <c r="AS1424">
        <f>HYPERLINK("https://creighton-primo.hosted.exlibrisgroup.com/primo-explore/search?tab=default_tab&amp;search_scope=EVERYTHING&amp;vid=01CRU&amp;lang=en_US&amp;offset=0&amp;query=any,contains,991001762399702656","Catalog Record")</f>
        <v/>
      </c>
      <c r="AT1424">
        <f>HYPERLINK("http://www.worldcat.org/oclc/482679","WorldCat Record")</f>
        <v/>
      </c>
    </row>
    <row r="1425">
      <c r="A1425" t="inlineStr">
        <is>
          <t>No</t>
        </is>
      </c>
      <c r="B1425" t="inlineStr">
        <is>
          <t>BF575.G7 R35 1984</t>
        </is>
      </c>
      <c r="C1425" t="inlineStr">
        <is>
          <t>0                      BF 0575000G  7                  R  35          1984</t>
        </is>
      </c>
      <c r="D1425" t="inlineStr">
        <is>
          <t>Grief, dying, and death : clinical interventions for caregivers / Therese A. Rando ; foreword by J. William Worden.</t>
        </is>
      </c>
      <c r="F1425" t="inlineStr">
        <is>
          <t>No</t>
        </is>
      </c>
      <c r="G1425" t="inlineStr">
        <is>
          <t>1</t>
        </is>
      </c>
      <c r="H1425" t="inlineStr">
        <is>
          <t>Yes</t>
        </is>
      </c>
      <c r="I1425" t="inlineStr">
        <is>
          <t>No</t>
        </is>
      </c>
      <c r="J1425" t="inlineStr">
        <is>
          <t>0</t>
        </is>
      </c>
      <c r="K1425" t="inlineStr">
        <is>
          <t>Rando, Therese A.</t>
        </is>
      </c>
      <c r="L1425" t="inlineStr">
        <is>
          <t>Champaign, Ill. : Research Press Co., c1984.</t>
        </is>
      </c>
      <c r="M1425" t="inlineStr">
        <is>
          <t>1984</t>
        </is>
      </c>
      <c r="O1425" t="inlineStr">
        <is>
          <t>eng</t>
        </is>
      </c>
      <c r="P1425" t="inlineStr">
        <is>
          <t>ilu</t>
        </is>
      </c>
      <c r="R1425" t="inlineStr">
        <is>
          <t xml:space="preserve">BF </t>
        </is>
      </c>
      <c r="S1425" t="n">
        <v>10</v>
      </c>
      <c r="T1425" t="n">
        <v>34</v>
      </c>
      <c r="U1425" t="inlineStr">
        <is>
          <t>1998-04-08</t>
        </is>
      </c>
      <c r="V1425" t="inlineStr">
        <is>
          <t>2005-06-26</t>
        </is>
      </c>
      <c r="W1425" t="inlineStr">
        <is>
          <t>1987-08-28</t>
        </is>
      </c>
      <c r="X1425" t="inlineStr">
        <is>
          <t>1992-02-20</t>
        </is>
      </c>
      <c r="Y1425" t="n">
        <v>955</v>
      </c>
      <c r="Z1425" t="n">
        <v>825</v>
      </c>
      <c r="AA1425" t="n">
        <v>833</v>
      </c>
      <c r="AB1425" t="n">
        <v>11</v>
      </c>
      <c r="AC1425" t="n">
        <v>11</v>
      </c>
      <c r="AD1425" t="n">
        <v>36</v>
      </c>
      <c r="AE1425" t="n">
        <v>36</v>
      </c>
      <c r="AF1425" t="n">
        <v>12</v>
      </c>
      <c r="AG1425" t="n">
        <v>12</v>
      </c>
      <c r="AH1425" t="n">
        <v>9</v>
      </c>
      <c r="AI1425" t="n">
        <v>9</v>
      </c>
      <c r="AJ1425" t="n">
        <v>14</v>
      </c>
      <c r="AK1425" t="n">
        <v>14</v>
      </c>
      <c r="AL1425" t="n">
        <v>6</v>
      </c>
      <c r="AM1425" t="n">
        <v>6</v>
      </c>
      <c r="AN1425" t="n">
        <v>0</v>
      </c>
      <c r="AO1425" t="n">
        <v>0</v>
      </c>
      <c r="AP1425" t="inlineStr">
        <is>
          <t>No</t>
        </is>
      </c>
      <c r="AQ1425" t="inlineStr">
        <is>
          <t>Yes</t>
        </is>
      </c>
      <c r="AR1425">
        <f>HYPERLINK("http://catalog.hathitrust.org/Record/002644854","HathiTrust Record")</f>
        <v/>
      </c>
      <c r="AS1425">
        <f>HYPERLINK("https://creighton-primo.hosted.exlibrisgroup.com/primo-explore/search?tab=default_tab&amp;search_scope=EVERYTHING&amp;vid=01CRU&amp;lang=en_US&amp;offset=0&amp;query=any,contains,991001762429702656","Catalog Record")</f>
        <v/>
      </c>
      <c r="AT1425">
        <f>HYPERLINK("http://www.worldcat.org/oclc/11527314","WorldCat Record")</f>
        <v/>
      </c>
    </row>
    <row r="1426">
      <c r="A1426" t="inlineStr">
        <is>
          <t>No</t>
        </is>
      </c>
      <c r="B1426" t="inlineStr">
        <is>
          <t>BF575.H27 C85 1990</t>
        </is>
      </c>
      <c r="C1426" t="inlineStr">
        <is>
          <t>0                      BF 0575000H  27                 C  85          1990</t>
        </is>
      </c>
      <c r="D1426" t="inlineStr">
        <is>
          <t>Flow : the psychology of optimal experience / Mihaly Csikszentmihalyi.</t>
        </is>
      </c>
      <c r="F1426" t="inlineStr">
        <is>
          <t>No</t>
        </is>
      </c>
      <c r="G1426" t="inlineStr">
        <is>
          <t>1</t>
        </is>
      </c>
      <c r="H1426" t="inlineStr">
        <is>
          <t>No</t>
        </is>
      </c>
      <c r="I1426" t="inlineStr">
        <is>
          <t>Yes</t>
        </is>
      </c>
      <c r="J1426" t="inlineStr">
        <is>
          <t>0</t>
        </is>
      </c>
      <c r="K1426" t="inlineStr">
        <is>
          <t>Csikszentmihalyi, Mihaly.</t>
        </is>
      </c>
      <c r="L1426" t="inlineStr">
        <is>
          <t>New York : Harper &amp; Row, c1990.</t>
        </is>
      </c>
      <c r="M1426" t="inlineStr">
        <is>
          <t>1990</t>
        </is>
      </c>
      <c r="N1426" t="inlineStr">
        <is>
          <t>1st ed.</t>
        </is>
      </c>
      <c r="O1426" t="inlineStr">
        <is>
          <t>eng</t>
        </is>
      </c>
      <c r="P1426" t="inlineStr">
        <is>
          <t>nyu</t>
        </is>
      </c>
      <c r="R1426" t="inlineStr">
        <is>
          <t xml:space="preserve">BF </t>
        </is>
      </c>
      <c r="S1426" t="n">
        <v>9</v>
      </c>
      <c r="T1426" t="n">
        <v>9</v>
      </c>
      <c r="U1426" t="inlineStr">
        <is>
          <t>2004-02-18</t>
        </is>
      </c>
      <c r="V1426" t="inlineStr">
        <is>
          <t>2004-02-18</t>
        </is>
      </c>
      <c r="W1426" t="inlineStr">
        <is>
          <t>1997-01-17</t>
        </is>
      </c>
      <c r="X1426" t="inlineStr">
        <is>
          <t>1997-01-17</t>
        </is>
      </c>
      <c r="Y1426" t="n">
        <v>1435</v>
      </c>
      <c r="Z1426" t="n">
        <v>1288</v>
      </c>
      <c r="AA1426" t="n">
        <v>2289</v>
      </c>
      <c r="AB1426" t="n">
        <v>10</v>
      </c>
      <c r="AC1426" t="n">
        <v>18</v>
      </c>
      <c r="AD1426" t="n">
        <v>33</v>
      </c>
      <c r="AE1426" t="n">
        <v>54</v>
      </c>
      <c r="AF1426" t="n">
        <v>11</v>
      </c>
      <c r="AG1426" t="n">
        <v>23</v>
      </c>
      <c r="AH1426" t="n">
        <v>8</v>
      </c>
      <c r="AI1426" t="n">
        <v>10</v>
      </c>
      <c r="AJ1426" t="n">
        <v>13</v>
      </c>
      <c r="AK1426" t="n">
        <v>19</v>
      </c>
      <c r="AL1426" t="n">
        <v>6</v>
      </c>
      <c r="AM1426" t="n">
        <v>10</v>
      </c>
      <c r="AN1426" t="n">
        <v>1</v>
      </c>
      <c r="AO1426" t="n">
        <v>1</v>
      </c>
      <c r="AP1426" t="inlineStr">
        <is>
          <t>No</t>
        </is>
      </c>
      <c r="AQ1426" t="inlineStr">
        <is>
          <t>No</t>
        </is>
      </c>
      <c r="AS1426">
        <f>HYPERLINK("https://creighton-primo.hosted.exlibrisgroup.com/primo-explore/search?tab=default_tab&amp;search_scope=EVERYTHING&amp;vid=01CRU&amp;lang=en_US&amp;offset=0&amp;query=any,contains,991000852869702656","Catalog Record")</f>
        <v/>
      </c>
      <c r="AT1426">
        <f>HYPERLINK("http://www.worldcat.org/oclc/20392741","WorldCat Record")</f>
        <v/>
      </c>
    </row>
    <row r="1427">
      <c r="A1427" t="inlineStr">
        <is>
          <t>No</t>
        </is>
      </c>
      <c r="B1427" t="inlineStr">
        <is>
          <t>BF575.H27 J32e 2004</t>
        </is>
      </c>
      <c r="C1427" t="inlineStr">
        <is>
          <t>0                      BF 0575000H  27                 J  32e         2004</t>
        </is>
      </c>
      <c r="D1427" t="inlineStr">
        <is>
          <t>Exuberance : the passion for life / by Kay Redfield Jamison.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Yes</t>
        </is>
      </c>
      <c r="J1427" t="inlineStr">
        <is>
          <t>0</t>
        </is>
      </c>
      <c r="K1427" t="inlineStr">
        <is>
          <t>Jamison, Kay R.</t>
        </is>
      </c>
      <c r="L1427" t="inlineStr">
        <is>
          <t>New York : A.A. Knopf, 2004.</t>
        </is>
      </c>
      <c r="M1427" t="inlineStr">
        <is>
          <t>2004</t>
        </is>
      </c>
      <c r="N1427" t="inlineStr">
        <is>
          <t>1st ed.</t>
        </is>
      </c>
      <c r="O1427" t="inlineStr">
        <is>
          <t>eng</t>
        </is>
      </c>
      <c r="P1427" t="inlineStr">
        <is>
          <t>nyu</t>
        </is>
      </c>
      <c r="R1427" t="inlineStr">
        <is>
          <t xml:space="preserve">BF </t>
        </is>
      </c>
      <c r="S1427" t="n">
        <v>0</v>
      </c>
      <c r="T1427" t="n">
        <v>0</v>
      </c>
      <c r="U1427" t="inlineStr">
        <is>
          <t>2005-01-27</t>
        </is>
      </c>
      <c r="V1427" t="inlineStr">
        <is>
          <t>2005-01-27</t>
        </is>
      </c>
      <c r="W1427" t="inlineStr">
        <is>
          <t>2005-01-27</t>
        </is>
      </c>
      <c r="X1427" t="inlineStr">
        <is>
          <t>2005-01-27</t>
        </is>
      </c>
      <c r="Y1427" t="n">
        <v>1548</v>
      </c>
      <c r="Z1427" t="n">
        <v>1449</v>
      </c>
      <c r="AA1427" t="n">
        <v>1589</v>
      </c>
      <c r="AB1427" t="n">
        <v>14</v>
      </c>
      <c r="AC1427" t="n">
        <v>17</v>
      </c>
      <c r="AD1427" t="n">
        <v>43</v>
      </c>
      <c r="AE1427" t="n">
        <v>46</v>
      </c>
      <c r="AF1427" t="n">
        <v>18</v>
      </c>
      <c r="AG1427" t="n">
        <v>19</v>
      </c>
      <c r="AH1427" t="n">
        <v>7</v>
      </c>
      <c r="AI1427" t="n">
        <v>7</v>
      </c>
      <c r="AJ1427" t="n">
        <v>18</v>
      </c>
      <c r="AK1427" t="n">
        <v>20</v>
      </c>
      <c r="AL1427" t="n">
        <v>8</v>
      </c>
      <c r="AM1427" t="n">
        <v>9</v>
      </c>
      <c r="AN1427" t="n">
        <v>0</v>
      </c>
      <c r="AO1427" t="n">
        <v>0</v>
      </c>
      <c r="AP1427" t="inlineStr">
        <is>
          <t>No</t>
        </is>
      </c>
      <c r="AQ1427" t="inlineStr">
        <is>
          <t>Yes</t>
        </is>
      </c>
      <c r="AR1427">
        <f>HYPERLINK("http://catalog.hathitrust.org/Record/004764155","HathiTrust Record")</f>
        <v/>
      </c>
      <c r="AS1427">
        <f>HYPERLINK("https://creighton-primo.hosted.exlibrisgroup.com/primo-explore/search?tab=default_tab&amp;search_scope=EVERYTHING&amp;vid=01CRU&amp;lang=en_US&amp;offset=0&amp;query=any,contains,991000424209702656","Catalog Record")</f>
        <v/>
      </c>
      <c r="AT1427">
        <f>HYPERLINK("http://www.worldcat.org/oclc/54767487","WorldCat Record")</f>
        <v/>
      </c>
    </row>
    <row r="1428">
      <c r="A1428" t="inlineStr">
        <is>
          <t>No</t>
        </is>
      </c>
      <c r="B1428" t="inlineStr">
        <is>
          <t>BF575.S75 C64 1973</t>
        </is>
      </c>
      <c r="C1428" t="inlineStr">
        <is>
          <t>0                      BF 0575000S  75                 C  64          1973</t>
        </is>
      </c>
      <c r="D1428" t="inlineStr">
        <is>
          <t>Stressful life events : their nature and effects : [papers] / edited by Barbara Snell Dohrenwend [and] Bruce P. Dohrenwend.</t>
        </is>
      </c>
      <c r="F1428" t="inlineStr">
        <is>
          <t>No</t>
        </is>
      </c>
      <c r="G1428" t="inlineStr">
        <is>
          <t>1</t>
        </is>
      </c>
      <c r="H1428" t="inlineStr">
        <is>
          <t>Yes</t>
        </is>
      </c>
      <c r="I1428" t="inlineStr">
        <is>
          <t>No</t>
        </is>
      </c>
      <c r="J1428" t="inlineStr">
        <is>
          <t>0</t>
        </is>
      </c>
      <c r="K1428" t="inlineStr">
        <is>
          <t>Conference on Stressful Life Events: Their Nature and Effects (1973 : City University of New York)</t>
        </is>
      </c>
      <c r="L1428" t="inlineStr">
        <is>
          <t>New York : Wiley, [1974]</t>
        </is>
      </c>
      <c r="M1428" t="inlineStr">
        <is>
          <t>1974</t>
        </is>
      </c>
      <c r="O1428" t="inlineStr">
        <is>
          <t>eng</t>
        </is>
      </c>
      <c r="P1428" t="inlineStr">
        <is>
          <t>nyu</t>
        </is>
      </c>
      <c r="R1428" t="inlineStr">
        <is>
          <t xml:space="preserve">BF </t>
        </is>
      </c>
      <c r="S1428" t="n">
        <v>12</v>
      </c>
      <c r="T1428" t="n">
        <v>19</v>
      </c>
      <c r="U1428" t="inlineStr">
        <is>
          <t>1996-04-26</t>
        </is>
      </c>
      <c r="V1428" t="inlineStr">
        <is>
          <t>2004-10-09</t>
        </is>
      </c>
      <c r="W1428" t="inlineStr">
        <is>
          <t>1989-04-18</t>
        </is>
      </c>
      <c r="X1428" t="inlineStr">
        <is>
          <t>1990-11-19</t>
        </is>
      </c>
      <c r="Y1428" t="n">
        <v>737</v>
      </c>
      <c r="Z1428" t="n">
        <v>600</v>
      </c>
      <c r="AA1428" t="n">
        <v>608</v>
      </c>
      <c r="AB1428" t="n">
        <v>5</v>
      </c>
      <c r="AC1428" t="n">
        <v>5</v>
      </c>
      <c r="AD1428" t="n">
        <v>29</v>
      </c>
      <c r="AE1428" t="n">
        <v>29</v>
      </c>
      <c r="AF1428" t="n">
        <v>14</v>
      </c>
      <c r="AG1428" t="n">
        <v>14</v>
      </c>
      <c r="AH1428" t="n">
        <v>6</v>
      </c>
      <c r="AI1428" t="n">
        <v>6</v>
      </c>
      <c r="AJ1428" t="n">
        <v>14</v>
      </c>
      <c r="AK1428" t="n">
        <v>14</v>
      </c>
      <c r="AL1428" t="n">
        <v>2</v>
      </c>
      <c r="AM1428" t="n">
        <v>2</v>
      </c>
      <c r="AN1428" t="n">
        <v>0</v>
      </c>
      <c r="AO1428" t="n">
        <v>0</v>
      </c>
      <c r="AP1428" t="inlineStr">
        <is>
          <t>No</t>
        </is>
      </c>
      <c r="AQ1428" t="inlineStr">
        <is>
          <t>Yes</t>
        </is>
      </c>
      <c r="AR1428">
        <f>HYPERLINK("http://catalog.hathitrust.org/Record/000013611","HathiTrust Record")</f>
        <v/>
      </c>
      <c r="AS1428">
        <f>HYPERLINK("https://creighton-primo.hosted.exlibrisgroup.com/primo-explore/search?tab=default_tab&amp;search_scope=EVERYTHING&amp;vid=01CRU&amp;lang=en_US&amp;offset=0&amp;query=any,contains,991001781769702656","Catalog Record")</f>
        <v/>
      </c>
      <c r="AT1428">
        <f>HYPERLINK("http://www.worldcat.org/oclc/874186","WorldCat Record")</f>
        <v/>
      </c>
    </row>
    <row r="1429">
      <c r="A1429" t="inlineStr">
        <is>
          <t>No</t>
        </is>
      </c>
      <c r="B1429" t="inlineStr">
        <is>
          <t>BF575.S75 L32 1984</t>
        </is>
      </c>
      <c r="C1429" t="inlineStr">
        <is>
          <t>0                      BF 0575000S  75                 L  32          1984</t>
        </is>
      </c>
      <c r="D1429" t="inlineStr">
        <is>
          <t>Stress, appraisal, and coping / Richard S. Lazarus, Susan Folkman.</t>
        </is>
      </c>
      <c r="F1429" t="inlineStr">
        <is>
          <t>No</t>
        </is>
      </c>
      <c r="G1429" t="inlineStr">
        <is>
          <t>1</t>
        </is>
      </c>
      <c r="H1429" t="inlineStr">
        <is>
          <t>Yes</t>
        </is>
      </c>
      <c r="I1429" t="inlineStr">
        <is>
          <t>No</t>
        </is>
      </c>
      <c r="J1429" t="inlineStr">
        <is>
          <t>0</t>
        </is>
      </c>
      <c r="K1429" t="inlineStr">
        <is>
          <t>Lazarus, Richard S.</t>
        </is>
      </c>
      <c r="L1429" t="inlineStr">
        <is>
          <t>New York : Springer Pub. Co., c1984.</t>
        </is>
      </c>
      <c r="M1429" t="inlineStr">
        <is>
          <t>1984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BF </t>
        </is>
      </c>
      <c r="S1429" t="n">
        <v>32</v>
      </c>
      <c r="T1429" t="n">
        <v>62</v>
      </c>
      <c r="U1429" t="inlineStr">
        <is>
          <t>2010-04-05</t>
        </is>
      </c>
      <c r="V1429" t="inlineStr">
        <is>
          <t>2010-04-05</t>
        </is>
      </c>
      <c r="W1429" t="inlineStr">
        <is>
          <t>1987-08-28</t>
        </is>
      </c>
      <c r="X1429" t="inlineStr">
        <is>
          <t>1990-06-01</t>
        </is>
      </c>
      <c r="Y1429" t="n">
        <v>1223</v>
      </c>
      <c r="Z1429" t="n">
        <v>971</v>
      </c>
      <c r="AA1429" t="n">
        <v>999</v>
      </c>
      <c r="AB1429" t="n">
        <v>9</v>
      </c>
      <c r="AC1429" t="n">
        <v>9</v>
      </c>
      <c r="AD1429" t="n">
        <v>48</v>
      </c>
      <c r="AE1429" t="n">
        <v>49</v>
      </c>
      <c r="AF1429" t="n">
        <v>21</v>
      </c>
      <c r="AG1429" t="n">
        <v>21</v>
      </c>
      <c r="AH1429" t="n">
        <v>11</v>
      </c>
      <c r="AI1429" t="n">
        <v>11</v>
      </c>
      <c r="AJ1429" t="n">
        <v>20</v>
      </c>
      <c r="AK1429" t="n">
        <v>21</v>
      </c>
      <c r="AL1429" t="n">
        <v>7</v>
      </c>
      <c r="AM1429" t="n">
        <v>7</v>
      </c>
      <c r="AN1429" t="n">
        <v>0</v>
      </c>
      <c r="AO1429" t="n">
        <v>0</v>
      </c>
      <c r="AP1429" t="inlineStr">
        <is>
          <t>No</t>
        </is>
      </c>
      <c r="AQ1429" t="inlineStr">
        <is>
          <t>Yes</t>
        </is>
      </c>
      <c r="AR1429">
        <f>HYPERLINK("http://catalog.hathitrust.org/Record/000246960","HathiTrust Record")</f>
        <v/>
      </c>
      <c r="AS1429">
        <f>HYPERLINK("https://creighton-primo.hosted.exlibrisgroup.com/primo-explore/search?tab=default_tab&amp;search_scope=EVERYTHING&amp;vid=01CRU&amp;lang=en_US&amp;offset=0&amp;query=any,contains,991001762469702656","Catalog Record")</f>
        <v/>
      </c>
      <c r="AT1429">
        <f>HYPERLINK("http://www.worldcat.org/oclc/10754235","WorldCat Record")</f>
        <v/>
      </c>
    </row>
    <row r="1430">
      <c r="A1430" t="inlineStr">
        <is>
          <t>No</t>
        </is>
      </c>
      <c r="B1430" t="inlineStr">
        <is>
          <t>BF575.S75 S7739 1986</t>
        </is>
      </c>
      <c r="C1430" t="inlineStr">
        <is>
          <t>0                      BF 0575000S  75                 S  7739        1986</t>
        </is>
      </c>
      <c r="D1430" t="inlineStr">
        <is>
          <t>Stress, social support, and women / edited by Stevan E. Hobfoll.</t>
        </is>
      </c>
      <c r="F1430" t="inlineStr">
        <is>
          <t>No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L1430" t="inlineStr">
        <is>
          <t>Washington : Hemisphere Pub. Corp., c1986.</t>
        </is>
      </c>
      <c r="M1430" t="inlineStr">
        <is>
          <t>1986</t>
        </is>
      </c>
      <c r="O1430" t="inlineStr">
        <is>
          <t>eng</t>
        </is>
      </c>
      <c r="P1430" t="inlineStr">
        <is>
          <t>dcu</t>
        </is>
      </c>
      <c r="Q1430" t="inlineStr">
        <is>
          <t>The Series in clinical and community psychology, 0146-0846</t>
        </is>
      </c>
      <c r="R1430" t="inlineStr">
        <is>
          <t xml:space="preserve">BF </t>
        </is>
      </c>
      <c r="S1430" t="n">
        <v>6</v>
      </c>
      <c r="T1430" t="n">
        <v>6</v>
      </c>
      <c r="U1430" t="inlineStr">
        <is>
          <t>1994-10-25</t>
        </is>
      </c>
      <c r="V1430" t="inlineStr">
        <is>
          <t>1994-10-25</t>
        </is>
      </c>
      <c r="W1430" t="inlineStr">
        <is>
          <t>1987-08-28</t>
        </is>
      </c>
      <c r="X1430" t="inlineStr">
        <is>
          <t>1987-08-28</t>
        </is>
      </c>
      <c r="Y1430" t="n">
        <v>617</v>
      </c>
      <c r="Z1430" t="n">
        <v>531</v>
      </c>
      <c r="AA1430" t="n">
        <v>555</v>
      </c>
      <c r="AB1430" t="n">
        <v>4</v>
      </c>
      <c r="AC1430" t="n">
        <v>4</v>
      </c>
      <c r="AD1430" t="n">
        <v>22</v>
      </c>
      <c r="AE1430" t="n">
        <v>22</v>
      </c>
      <c r="AF1430" t="n">
        <v>7</v>
      </c>
      <c r="AG1430" t="n">
        <v>7</v>
      </c>
      <c r="AH1430" t="n">
        <v>7</v>
      </c>
      <c r="AI1430" t="n">
        <v>7</v>
      </c>
      <c r="AJ1430" t="n">
        <v>12</v>
      </c>
      <c r="AK1430" t="n">
        <v>12</v>
      </c>
      <c r="AL1430" t="n">
        <v>3</v>
      </c>
      <c r="AM1430" t="n">
        <v>3</v>
      </c>
      <c r="AN1430" t="n">
        <v>0</v>
      </c>
      <c r="AO1430" t="n">
        <v>0</v>
      </c>
      <c r="AP1430" t="inlineStr">
        <is>
          <t>No</t>
        </is>
      </c>
      <c r="AQ1430" t="inlineStr">
        <is>
          <t>No</t>
        </is>
      </c>
      <c r="AS1430">
        <f>HYPERLINK("https://creighton-primo.hosted.exlibrisgroup.com/primo-explore/search?tab=default_tab&amp;search_scope=EVERYTHING&amp;vid=01CRU&amp;lang=en_US&amp;offset=0&amp;query=any,contains,991000787949702656","Catalog Record")</f>
        <v/>
      </c>
      <c r="AT1430">
        <f>HYPERLINK("http://www.worldcat.org/oclc/11548708","WorldCat Record")</f>
        <v/>
      </c>
    </row>
    <row r="1431">
      <c r="A1431" t="inlineStr">
        <is>
          <t>No</t>
        </is>
      </c>
      <c r="B1431" t="inlineStr">
        <is>
          <t>BF637.C45 B84 1983</t>
        </is>
      </c>
      <c r="C1431" t="inlineStr">
        <is>
          <t>0                      BF 0637000C  45                 B  84          1983</t>
        </is>
      </c>
      <c r="D1431" t="inlineStr">
        <is>
          <t>Body movement and interpersonal communication / Peter Bull.</t>
        </is>
      </c>
      <c r="F1431" t="inlineStr">
        <is>
          <t>No</t>
        </is>
      </c>
      <c r="G1431" t="inlineStr">
        <is>
          <t>1</t>
        </is>
      </c>
      <c r="H1431" t="inlineStr">
        <is>
          <t>Yes</t>
        </is>
      </c>
      <c r="I1431" t="inlineStr">
        <is>
          <t>No</t>
        </is>
      </c>
      <c r="J1431" t="inlineStr">
        <is>
          <t>0</t>
        </is>
      </c>
      <c r="K1431" t="inlineStr">
        <is>
          <t>Bull, Peter, 1949-</t>
        </is>
      </c>
      <c r="L1431" t="inlineStr">
        <is>
          <t>Chichester ; New York : Wiley, c1983, 1984 printing.</t>
        </is>
      </c>
      <c r="M1431" t="inlineStr">
        <is>
          <t>1983</t>
        </is>
      </c>
      <c r="O1431" t="inlineStr">
        <is>
          <t>eng</t>
        </is>
      </c>
      <c r="P1431" t="inlineStr">
        <is>
          <t>enk</t>
        </is>
      </c>
      <c r="R1431" t="inlineStr">
        <is>
          <t xml:space="preserve">BF </t>
        </is>
      </c>
      <c r="S1431" t="n">
        <v>5</v>
      </c>
      <c r="T1431" t="n">
        <v>24</v>
      </c>
      <c r="U1431" t="inlineStr">
        <is>
          <t>1996-09-09</t>
        </is>
      </c>
      <c r="V1431" t="inlineStr">
        <is>
          <t>2007-02-24</t>
        </is>
      </c>
      <c r="W1431" t="inlineStr">
        <is>
          <t>1988-05-04</t>
        </is>
      </c>
      <c r="X1431" t="inlineStr">
        <is>
          <t>1990-03-27</t>
        </is>
      </c>
      <c r="Y1431" t="n">
        <v>543</v>
      </c>
      <c r="Z1431" t="n">
        <v>425</v>
      </c>
      <c r="AA1431" t="n">
        <v>431</v>
      </c>
      <c r="AB1431" t="n">
        <v>4</v>
      </c>
      <c r="AC1431" t="n">
        <v>4</v>
      </c>
      <c r="AD1431" t="n">
        <v>18</v>
      </c>
      <c r="AE1431" t="n">
        <v>18</v>
      </c>
      <c r="AF1431" t="n">
        <v>5</v>
      </c>
      <c r="AG1431" t="n">
        <v>5</v>
      </c>
      <c r="AH1431" t="n">
        <v>4</v>
      </c>
      <c r="AI1431" t="n">
        <v>4</v>
      </c>
      <c r="AJ1431" t="n">
        <v>12</v>
      </c>
      <c r="AK1431" t="n">
        <v>12</v>
      </c>
      <c r="AL1431" t="n">
        <v>2</v>
      </c>
      <c r="AM1431" t="n">
        <v>2</v>
      </c>
      <c r="AN1431" t="n">
        <v>0</v>
      </c>
      <c r="AO1431" t="n">
        <v>0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HYPERLINK("http://catalog.hathitrust.org/Record/000202924","HathiTrust Record")</f>
        <v/>
      </c>
      <c r="AS1431">
        <f>HYPERLINK("https://creighton-primo.hosted.exlibrisgroup.com/primo-explore/search?tab=default_tab&amp;search_scope=EVERYTHING&amp;vid=01CRU&amp;lang=en_US&amp;offset=0&amp;query=any,contains,991001762539702656","Catalog Record")</f>
        <v/>
      </c>
      <c r="AT1431">
        <f>HYPERLINK("http://www.worldcat.org/oclc/9082713","WorldCat Record")</f>
        <v/>
      </c>
    </row>
    <row r="1432">
      <c r="A1432" t="inlineStr">
        <is>
          <t>No</t>
        </is>
      </c>
      <c r="B1432" t="inlineStr">
        <is>
          <t>BF637.C6 C79</t>
        </is>
      </c>
      <c r="C1432" t="inlineStr">
        <is>
          <t>0                      BF 0637000C  6                  C  79</t>
        </is>
      </c>
      <c r="D1432" t="inlineStr">
        <is>
          <t>Counseling and psychotherapy : the pursuit of values / by Charles A. Curran.</t>
        </is>
      </c>
      <c r="F1432" t="inlineStr">
        <is>
          <t>No</t>
        </is>
      </c>
      <c r="G1432" t="inlineStr">
        <is>
          <t>1</t>
        </is>
      </c>
      <c r="H1432" t="inlineStr">
        <is>
          <t>Yes</t>
        </is>
      </c>
      <c r="I1432" t="inlineStr">
        <is>
          <t>No</t>
        </is>
      </c>
      <c r="J1432" t="inlineStr">
        <is>
          <t>0</t>
        </is>
      </c>
      <c r="K1432" t="inlineStr">
        <is>
          <t>Curran, Charles A. (Charles Arthur), 1913-1978.</t>
        </is>
      </c>
      <c r="L1432" t="inlineStr">
        <is>
          <t>New York : Sheed and Ward, [1968]</t>
        </is>
      </c>
      <c r="M1432" t="inlineStr">
        <is>
          <t>1968</t>
        </is>
      </c>
      <c r="O1432" t="inlineStr">
        <is>
          <t>eng</t>
        </is>
      </c>
      <c r="P1432" t="inlineStr">
        <is>
          <t>nyu</t>
        </is>
      </c>
      <c r="R1432" t="inlineStr">
        <is>
          <t xml:space="preserve">BF </t>
        </is>
      </c>
      <c r="S1432" t="n">
        <v>1</v>
      </c>
      <c r="T1432" t="n">
        <v>3</v>
      </c>
      <c r="U1432" t="inlineStr">
        <is>
          <t>1990-09-13</t>
        </is>
      </c>
      <c r="V1432" t="inlineStr">
        <is>
          <t>1993-05-30</t>
        </is>
      </c>
      <c r="W1432" t="inlineStr">
        <is>
          <t>1987-12-03</t>
        </is>
      </c>
      <c r="X1432" t="inlineStr">
        <is>
          <t>1990-10-23</t>
        </is>
      </c>
      <c r="Y1432" t="n">
        <v>444</v>
      </c>
      <c r="Z1432" t="n">
        <v>389</v>
      </c>
      <c r="AA1432" t="n">
        <v>464</v>
      </c>
      <c r="AB1432" t="n">
        <v>8</v>
      </c>
      <c r="AC1432" t="n">
        <v>8</v>
      </c>
      <c r="AD1432" t="n">
        <v>27</v>
      </c>
      <c r="AE1432" t="n">
        <v>32</v>
      </c>
      <c r="AF1432" t="n">
        <v>6</v>
      </c>
      <c r="AG1432" t="n">
        <v>8</v>
      </c>
      <c r="AH1432" t="n">
        <v>8</v>
      </c>
      <c r="AI1432" t="n">
        <v>10</v>
      </c>
      <c r="AJ1432" t="n">
        <v>17</v>
      </c>
      <c r="AK1432" t="n">
        <v>18</v>
      </c>
      <c r="AL1432" t="n">
        <v>4</v>
      </c>
      <c r="AM1432" t="n">
        <v>4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Yes</t>
        </is>
      </c>
      <c r="AR1432">
        <f>HYPERLINK("http://catalog.hathitrust.org/Record/004508869","HathiTrust Record")</f>
        <v/>
      </c>
      <c r="AS1432">
        <f>HYPERLINK("https://creighton-primo.hosted.exlibrisgroup.com/primo-explore/search?tab=default_tab&amp;search_scope=EVERYTHING&amp;vid=01CRU&amp;lang=en_US&amp;offset=0&amp;query=any,contains,991001785639702656","Catalog Record")</f>
        <v/>
      </c>
      <c r="AT1432">
        <f>HYPERLINK("http://www.worldcat.org/oclc/21263","WorldCat Record")</f>
        <v/>
      </c>
    </row>
    <row r="1433">
      <c r="A1433" t="inlineStr">
        <is>
          <t>No</t>
        </is>
      </c>
      <c r="B1433" t="inlineStr">
        <is>
          <t>BF637.C6 D68</t>
        </is>
      </c>
      <c r="C1433" t="inlineStr">
        <is>
          <t>0                      BF 0637000C  6                  D  68</t>
        </is>
      </c>
      <c r="D1433" t="inlineStr">
        <is>
          <t>Counseling and learning through small-group discussion / by Helen I. Driver and thirty-seven contributors.</t>
        </is>
      </c>
      <c r="F1433" t="inlineStr">
        <is>
          <t>No</t>
        </is>
      </c>
      <c r="G1433" t="inlineStr">
        <is>
          <t>1</t>
        </is>
      </c>
      <c r="H1433" t="inlineStr">
        <is>
          <t>Yes</t>
        </is>
      </c>
      <c r="I1433" t="inlineStr">
        <is>
          <t>No</t>
        </is>
      </c>
      <c r="J1433" t="inlineStr">
        <is>
          <t>0</t>
        </is>
      </c>
      <c r="K1433" t="inlineStr">
        <is>
          <t>Driver, Helen Irene, 1904-</t>
        </is>
      </c>
      <c r="L1433" t="inlineStr">
        <is>
          <t>[Madison, Wis. : Monona Publications, 1958]</t>
        </is>
      </c>
      <c r="M1433" t="inlineStr">
        <is>
          <t>1958</t>
        </is>
      </c>
      <c r="O1433" t="inlineStr">
        <is>
          <t>eng</t>
        </is>
      </c>
      <c r="P1433" t="inlineStr">
        <is>
          <t>wiu</t>
        </is>
      </c>
      <c r="R1433" t="inlineStr">
        <is>
          <t xml:space="preserve">BF </t>
        </is>
      </c>
      <c r="S1433" t="n">
        <v>2</v>
      </c>
      <c r="T1433" t="n">
        <v>7</v>
      </c>
      <c r="U1433" t="inlineStr">
        <is>
          <t>1992-09-29</t>
        </is>
      </c>
      <c r="V1433" t="inlineStr">
        <is>
          <t>1997-07-06</t>
        </is>
      </c>
      <c r="W1433" t="inlineStr">
        <is>
          <t>1988-02-29</t>
        </is>
      </c>
      <c r="X1433" t="inlineStr">
        <is>
          <t>1992-04-02</t>
        </is>
      </c>
      <c r="Y1433" t="n">
        <v>393</v>
      </c>
      <c r="Z1433" t="n">
        <v>359</v>
      </c>
      <c r="AA1433" t="n">
        <v>431</v>
      </c>
      <c r="AB1433" t="n">
        <v>6</v>
      </c>
      <c r="AC1433" t="n">
        <v>6</v>
      </c>
      <c r="AD1433" t="n">
        <v>16</v>
      </c>
      <c r="AE1433" t="n">
        <v>19</v>
      </c>
      <c r="AF1433" t="n">
        <v>5</v>
      </c>
      <c r="AG1433" t="n">
        <v>7</v>
      </c>
      <c r="AH1433" t="n">
        <v>1</v>
      </c>
      <c r="AI1433" t="n">
        <v>2</v>
      </c>
      <c r="AJ1433" t="n">
        <v>9</v>
      </c>
      <c r="AK1433" t="n">
        <v>10</v>
      </c>
      <c r="AL1433" t="n">
        <v>3</v>
      </c>
      <c r="AM1433" t="n">
        <v>3</v>
      </c>
      <c r="AN1433" t="n">
        <v>0</v>
      </c>
      <c r="AO1433" t="n">
        <v>0</v>
      </c>
      <c r="AP1433" t="inlineStr">
        <is>
          <t>No</t>
        </is>
      </c>
      <c r="AQ1433" t="inlineStr">
        <is>
          <t>No</t>
        </is>
      </c>
      <c r="AR1433">
        <f>HYPERLINK("http://catalog.hathitrust.org/Record/000386791","HathiTrust Record")</f>
        <v/>
      </c>
      <c r="AS1433">
        <f>HYPERLINK("https://creighton-primo.hosted.exlibrisgroup.com/primo-explore/search?tab=default_tab&amp;search_scope=EVERYTHING&amp;vid=01CRU&amp;lang=en_US&amp;offset=0&amp;query=any,contains,991001762509702656","Catalog Record")</f>
        <v/>
      </c>
      <c r="AT1433">
        <f>HYPERLINK("http://www.worldcat.org/oclc/194124","WorldCat Record")</f>
        <v/>
      </c>
    </row>
    <row r="1434">
      <c r="A1434" t="inlineStr">
        <is>
          <t>No</t>
        </is>
      </c>
      <c r="B1434" t="inlineStr">
        <is>
          <t>BF637.R57 R57 1992</t>
        </is>
      </c>
      <c r="C1434" t="inlineStr">
        <is>
          <t>0                      BF 0637000R  57                 R  57          1992</t>
        </is>
      </c>
      <c r="D1434" t="inlineStr">
        <is>
          <t>Risk-taking behavior / edited by J. Frank Yates.</t>
        </is>
      </c>
      <c r="F1434" t="inlineStr">
        <is>
          <t>No</t>
        </is>
      </c>
      <c r="G1434" t="inlineStr">
        <is>
          <t>1</t>
        </is>
      </c>
      <c r="H1434" t="inlineStr">
        <is>
          <t>Yes</t>
        </is>
      </c>
      <c r="I1434" t="inlineStr">
        <is>
          <t>No</t>
        </is>
      </c>
      <c r="J1434" t="inlineStr">
        <is>
          <t>0</t>
        </is>
      </c>
      <c r="L1434" t="inlineStr">
        <is>
          <t>Chichester, West Sussex, England ; New York : Wiley, c1992.</t>
        </is>
      </c>
      <c r="M1434" t="inlineStr">
        <is>
          <t>1992</t>
        </is>
      </c>
      <c r="O1434" t="inlineStr">
        <is>
          <t>eng</t>
        </is>
      </c>
      <c r="P1434" t="inlineStr">
        <is>
          <t>enk</t>
        </is>
      </c>
      <c r="Q1434" t="inlineStr">
        <is>
          <t>Wiley series, Human performance and cognition</t>
        </is>
      </c>
      <c r="R1434" t="inlineStr">
        <is>
          <t xml:space="preserve">BF </t>
        </is>
      </c>
      <c r="S1434" t="n">
        <v>5</v>
      </c>
      <c r="T1434" t="n">
        <v>12</v>
      </c>
      <c r="U1434" t="inlineStr">
        <is>
          <t>2005-11-06</t>
        </is>
      </c>
      <c r="V1434" t="inlineStr">
        <is>
          <t>2010-10-05</t>
        </is>
      </c>
      <c r="W1434" t="inlineStr">
        <is>
          <t>1992-09-16</t>
        </is>
      </c>
      <c r="X1434" t="inlineStr">
        <is>
          <t>1992-10-22</t>
        </is>
      </c>
      <c r="Y1434" t="n">
        <v>406</v>
      </c>
      <c r="Z1434" t="n">
        <v>231</v>
      </c>
      <c r="AA1434" t="n">
        <v>239</v>
      </c>
      <c r="AB1434" t="n">
        <v>3</v>
      </c>
      <c r="AC1434" t="n">
        <v>3</v>
      </c>
      <c r="AD1434" t="n">
        <v>7</v>
      </c>
      <c r="AE1434" t="n">
        <v>7</v>
      </c>
      <c r="AF1434" t="n">
        <v>2</v>
      </c>
      <c r="AG1434" t="n">
        <v>2</v>
      </c>
      <c r="AH1434" t="n">
        <v>2</v>
      </c>
      <c r="AI1434" t="n">
        <v>2</v>
      </c>
      <c r="AJ1434" t="n">
        <v>2</v>
      </c>
      <c r="AK1434" t="n">
        <v>2</v>
      </c>
      <c r="AL1434" t="n">
        <v>1</v>
      </c>
      <c r="AM1434" t="n">
        <v>1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HYPERLINK("http://catalog.hathitrust.org/Record/002560673","HathiTrust Record")</f>
        <v/>
      </c>
      <c r="AS1434">
        <f>HYPERLINK("https://creighton-primo.hosted.exlibrisgroup.com/primo-explore/search?tab=default_tab&amp;search_scope=EVERYTHING&amp;vid=01CRU&amp;lang=en_US&amp;offset=0&amp;query=any,contains,991001796279702656","Catalog Record")</f>
        <v/>
      </c>
      <c r="AT1434">
        <f>HYPERLINK("http://www.worldcat.org/oclc/23968596","WorldCat Record")</f>
        <v/>
      </c>
    </row>
    <row r="1435">
      <c r="A1435" t="inlineStr">
        <is>
          <t>No</t>
        </is>
      </c>
      <c r="B1435" t="inlineStr">
        <is>
          <t>BF697 .E7</t>
        </is>
      </c>
      <c r="C1435" t="inlineStr">
        <is>
          <t>0                      BF 0697000E  7</t>
        </is>
      </c>
      <c r="D1435" t="inlineStr">
        <is>
          <t>Identity, youth, and crisis / [by] Erik H. Erikson.</t>
        </is>
      </c>
      <c r="F1435" t="inlineStr">
        <is>
          <t>No</t>
        </is>
      </c>
      <c r="G1435" t="inlineStr">
        <is>
          <t>1</t>
        </is>
      </c>
      <c r="H1435" t="inlineStr">
        <is>
          <t>No</t>
        </is>
      </c>
      <c r="I1435" t="inlineStr">
        <is>
          <t>Yes</t>
        </is>
      </c>
      <c r="J1435" t="inlineStr">
        <is>
          <t>0</t>
        </is>
      </c>
      <c r="K1435" t="inlineStr">
        <is>
          <t>Erikson, Erik H. (Erik Homburger), 1902-1994.</t>
        </is>
      </c>
      <c r="L1435" t="inlineStr">
        <is>
          <t>New York : W. W. Norton, [1968]</t>
        </is>
      </c>
      <c r="M1435" t="inlineStr">
        <is>
          <t>1968</t>
        </is>
      </c>
      <c r="N1435" t="inlineStr">
        <is>
          <t>[1st ed.]</t>
        </is>
      </c>
      <c r="O1435" t="inlineStr">
        <is>
          <t>eng</t>
        </is>
      </c>
      <c r="P1435" t="inlineStr">
        <is>
          <t>nyu</t>
        </is>
      </c>
      <c r="R1435" t="inlineStr">
        <is>
          <t xml:space="preserve">BF </t>
        </is>
      </c>
      <c r="S1435" t="n">
        <v>16</v>
      </c>
      <c r="T1435" t="n">
        <v>16</v>
      </c>
      <c r="U1435" t="inlineStr">
        <is>
          <t>2002-01-22</t>
        </is>
      </c>
      <c r="V1435" t="inlineStr">
        <is>
          <t>2002-01-22</t>
        </is>
      </c>
      <c r="W1435" t="inlineStr">
        <is>
          <t>1987-08-28</t>
        </is>
      </c>
      <c r="X1435" t="inlineStr">
        <is>
          <t>1987-08-28</t>
        </is>
      </c>
      <c r="Y1435" t="n">
        <v>2230</v>
      </c>
      <c r="Z1435" t="n">
        <v>1926</v>
      </c>
      <c r="AA1435" t="n">
        <v>2241</v>
      </c>
      <c r="AB1435" t="n">
        <v>16</v>
      </c>
      <c r="AC1435" t="n">
        <v>19</v>
      </c>
      <c r="AD1435" t="n">
        <v>59</v>
      </c>
      <c r="AE1435" t="n">
        <v>63</v>
      </c>
      <c r="AF1435" t="n">
        <v>25</v>
      </c>
      <c r="AG1435" t="n">
        <v>26</v>
      </c>
      <c r="AH1435" t="n">
        <v>10</v>
      </c>
      <c r="AI1435" t="n">
        <v>11</v>
      </c>
      <c r="AJ1435" t="n">
        <v>25</v>
      </c>
      <c r="AK1435" t="n">
        <v>26</v>
      </c>
      <c r="AL1435" t="n">
        <v>10</v>
      </c>
      <c r="AM1435" t="n">
        <v>12</v>
      </c>
      <c r="AN1435" t="n">
        <v>0</v>
      </c>
      <c r="AO1435" t="n">
        <v>0</v>
      </c>
      <c r="AP1435" t="inlineStr">
        <is>
          <t>No</t>
        </is>
      </c>
      <c r="AQ1435" t="inlineStr">
        <is>
          <t>No</t>
        </is>
      </c>
      <c r="AS1435">
        <f>HYPERLINK("https://creighton-primo.hosted.exlibrisgroup.com/primo-explore/search?tab=default_tab&amp;search_scope=EVERYTHING&amp;vid=01CRU&amp;lang=en_US&amp;offset=0&amp;query=any,contains,991000788879702656","Catalog Record")</f>
        <v/>
      </c>
      <c r="AT1435">
        <f>HYPERLINK("http://www.worldcat.org/oclc/204288","WorldCat Record")</f>
        <v/>
      </c>
    </row>
    <row r="1436">
      <c r="A1436" t="inlineStr">
        <is>
          <t>No</t>
        </is>
      </c>
      <c r="B1436" t="inlineStr">
        <is>
          <t>BF697 .R657 1979</t>
        </is>
      </c>
      <c r="C1436" t="inlineStr">
        <is>
          <t>0                      BF 0697000R  657         1979</t>
        </is>
      </c>
      <c r="D1436" t="inlineStr">
        <is>
          <t>Conceiving the self / Morris Rosenberg.</t>
        </is>
      </c>
      <c r="F1436" t="inlineStr">
        <is>
          <t>No</t>
        </is>
      </c>
      <c r="G1436" t="inlineStr">
        <is>
          <t>1</t>
        </is>
      </c>
      <c r="H1436" t="inlineStr">
        <is>
          <t>Yes</t>
        </is>
      </c>
      <c r="I1436" t="inlineStr">
        <is>
          <t>No</t>
        </is>
      </c>
      <c r="J1436" t="inlineStr">
        <is>
          <t>0</t>
        </is>
      </c>
      <c r="K1436" t="inlineStr">
        <is>
          <t>Rosenberg, Morris.</t>
        </is>
      </c>
      <c r="L1436" t="inlineStr">
        <is>
          <t>New York : Basic Books, c1979.</t>
        </is>
      </c>
      <c r="M1436" t="inlineStr">
        <is>
          <t>1979</t>
        </is>
      </c>
      <c r="O1436" t="inlineStr">
        <is>
          <t>eng</t>
        </is>
      </c>
      <c r="P1436" t="inlineStr">
        <is>
          <t>nyu</t>
        </is>
      </c>
      <c r="R1436" t="inlineStr">
        <is>
          <t xml:space="preserve">BF </t>
        </is>
      </c>
      <c r="S1436" t="n">
        <v>11</v>
      </c>
      <c r="T1436" t="n">
        <v>15</v>
      </c>
      <c r="U1436" t="inlineStr">
        <is>
          <t>1998-05-29</t>
        </is>
      </c>
      <c r="V1436" t="inlineStr">
        <is>
          <t>2000-02-23</t>
        </is>
      </c>
      <c r="W1436" t="inlineStr">
        <is>
          <t>1991-06-17</t>
        </is>
      </c>
      <c r="X1436" t="inlineStr">
        <is>
          <t>1993-03-17</t>
        </is>
      </c>
      <c r="Y1436" t="n">
        <v>792</v>
      </c>
      <c r="Z1436" t="n">
        <v>675</v>
      </c>
      <c r="AA1436" t="n">
        <v>787</v>
      </c>
      <c r="AB1436" t="n">
        <v>8</v>
      </c>
      <c r="AC1436" t="n">
        <v>8</v>
      </c>
      <c r="AD1436" t="n">
        <v>30</v>
      </c>
      <c r="AE1436" t="n">
        <v>34</v>
      </c>
      <c r="AF1436" t="n">
        <v>13</v>
      </c>
      <c r="AG1436" t="n">
        <v>16</v>
      </c>
      <c r="AH1436" t="n">
        <v>5</v>
      </c>
      <c r="AI1436" t="n">
        <v>6</v>
      </c>
      <c r="AJ1436" t="n">
        <v>13</v>
      </c>
      <c r="AK1436" t="n">
        <v>15</v>
      </c>
      <c r="AL1436" t="n">
        <v>4</v>
      </c>
      <c r="AM1436" t="n">
        <v>4</v>
      </c>
      <c r="AN1436" t="n">
        <v>0</v>
      </c>
      <c r="AO1436" t="n">
        <v>0</v>
      </c>
      <c r="AP1436" t="inlineStr">
        <is>
          <t>No</t>
        </is>
      </c>
      <c r="AQ1436" t="inlineStr">
        <is>
          <t>Yes</t>
        </is>
      </c>
      <c r="AR1436">
        <f>HYPERLINK("http://catalog.hathitrust.org/Record/000256270","HathiTrust Record")</f>
        <v/>
      </c>
      <c r="AS1436">
        <f>HYPERLINK("https://creighton-primo.hosted.exlibrisgroup.com/primo-explore/search?tab=default_tab&amp;search_scope=EVERYTHING&amp;vid=01CRU&amp;lang=en_US&amp;offset=0&amp;query=any,contains,991001777159702656","Catalog Record")</f>
        <v/>
      </c>
      <c r="AT1436">
        <f>HYPERLINK("http://www.worldcat.org/oclc/4495621","WorldCat Record")</f>
        <v/>
      </c>
    </row>
    <row r="1437">
      <c r="A1437" t="inlineStr">
        <is>
          <t>No</t>
        </is>
      </c>
      <c r="B1437" t="inlineStr">
        <is>
          <t>BF698.7 .R3 1981</t>
        </is>
      </c>
      <c r="C1437" t="inlineStr">
        <is>
          <t>0                      BF 0698700R  3           1981</t>
        </is>
      </c>
      <c r="D1437" t="inlineStr">
        <is>
          <t>Assessment with projective techniques : a concise introduction / A.I. Rabin, editor.</t>
        </is>
      </c>
      <c r="F1437" t="inlineStr">
        <is>
          <t>No</t>
        </is>
      </c>
      <c r="G1437" t="inlineStr">
        <is>
          <t>1</t>
        </is>
      </c>
      <c r="H1437" t="inlineStr">
        <is>
          <t>Yes</t>
        </is>
      </c>
      <c r="I1437" t="inlineStr">
        <is>
          <t>No</t>
        </is>
      </c>
      <c r="J1437" t="inlineStr">
        <is>
          <t>0</t>
        </is>
      </c>
      <c r="L1437" t="inlineStr">
        <is>
          <t>New York : Springer Pub. Co., c1981.</t>
        </is>
      </c>
      <c r="M1437" t="inlineStr">
        <is>
          <t>1981</t>
        </is>
      </c>
      <c r="O1437" t="inlineStr">
        <is>
          <t>eng</t>
        </is>
      </c>
      <c r="P1437" t="inlineStr">
        <is>
          <t>nyu</t>
        </is>
      </c>
      <c r="R1437" t="inlineStr">
        <is>
          <t xml:space="preserve">BF </t>
        </is>
      </c>
      <c r="S1437" t="n">
        <v>7</v>
      </c>
      <c r="T1437" t="n">
        <v>11</v>
      </c>
      <c r="U1437" t="inlineStr">
        <is>
          <t>1999-12-17</t>
        </is>
      </c>
      <c r="V1437" t="inlineStr">
        <is>
          <t>1999-12-17</t>
        </is>
      </c>
      <c r="W1437" t="inlineStr">
        <is>
          <t>1987-12-07</t>
        </is>
      </c>
      <c r="X1437" t="inlineStr">
        <is>
          <t>1993-04-05</t>
        </is>
      </c>
      <c r="Y1437" t="n">
        <v>358</v>
      </c>
      <c r="Z1437" t="n">
        <v>317</v>
      </c>
      <c r="AA1437" t="n">
        <v>319</v>
      </c>
      <c r="AB1437" t="n">
        <v>4</v>
      </c>
      <c r="AC1437" t="n">
        <v>4</v>
      </c>
      <c r="AD1437" t="n">
        <v>13</v>
      </c>
      <c r="AE1437" t="n">
        <v>13</v>
      </c>
      <c r="AF1437" t="n">
        <v>5</v>
      </c>
      <c r="AG1437" t="n">
        <v>5</v>
      </c>
      <c r="AH1437" t="n">
        <v>2</v>
      </c>
      <c r="AI1437" t="n">
        <v>2</v>
      </c>
      <c r="AJ1437" t="n">
        <v>7</v>
      </c>
      <c r="AK1437" t="n">
        <v>7</v>
      </c>
      <c r="AL1437" t="n">
        <v>2</v>
      </c>
      <c r="AM1437" t="n">
        <v>2</v>
      </c>
      <c r="AN1437" t="n">
        <v>0</v>
      </c>
      <c r="AO1437" t="n">
        <v>0</v>
      </c>
      <c r="AP1437" t="inlineStr">
        <is>
          <t>No</t>
        </is>
      </c>
      <c r="AQ1437" t="inlineStr">
        <is>
          <t>Yes</t>
        </is>
      </c>
      <c r="AR1437">
        <f>HYPERLINK("http://catalog.hathitrust.org/Record/000098908","HathiTrust Record")</f>
        <v/>
      </c>
      <c r="AS1437">
        <f>HYPERLINK("https://creighton-primo.hosted.exlibrisgroup.com/primo-explore/search?tab=default_tab&amp;search_scope=EVERYTHING&amp;vid=01CRU&amp;lang=en_US&amp;offset=0&amp;query=any,contains,991001781579702656","Catalog Record")</f>
        <v/>
      </c>
      <c r="AT1437">
        <f>HYPERLINK("http://www.worldcat.org/oclc/6943237","WorldCat Record")</f>
        <v/>
      </c>
    </row>
    <row r="1438">
      <c r="A1438" t="inlineStr">
        <is>
          <t>No</t>
        </is>
      </c>
      <c r="B1438" t="inlineStr">
        <is>
          <t>BF698.95 .G73 2004</t>
        </is>
      </c>
      <c r="C1438" t="inlineStr">
        <is>
          <t>0                      BF 0698950G  73          2004</t>
        </is>
      </c>
      <c r="D1438" t="inlineStr">
        <is>
          <t>The first idea : how symbols, language, and intelligence evolved from our primate ancestors to modern humans / Stanley I. Greenspan, Stuart G. Shanker.</t>
        </is>
      </c>
      <c r="F1438" t="inlineStr">
        <is>
          <t>No</t>
        </is>
      </c>
      <c r="G1438" t="inlineStr">
        <is>
          <t>1</t>
        </is>
      </c>
      <c r="H1438" t="inlineStr">
        <is>
          <t>Yes</t>
        </is>
      </c>
      <c r="I1438" t="inlineStr">
        <is>
          <t>No</t>
        </is>
      </c>
      <c r="J1438" t="inlineStr">
        <is>
          <t>0</t>
        </is>
      </c>
      <c r="K1438" t="inlineStr">
        <is>
          <t>Greenspan, Stanley I.</t>
        </is>
      </c>
      <c r="L1438" t="inlineStr">
        <is>
          <t>Cambridge, MA : Da Capo Press, 2004.</t>
        </is>
      </c>
      <c r="M1438" t="inlineStr">
        <is>
          <t>2004</t>
        </is>
      </c>
      <c r="N1438" t="inlineStr">
        <is>
          <t>1st Da Capo Press ed.</t>
        </is>
      </c>
      <c r="O1438" t="inlineStr">
        <is>
          <t>eng</t>
        </is>
      </c>
      <c r="P1438" t="inlineStr">
        <is>
          <t>mau</t>
        </is>
      </c>
      <c r="R1438" t="inlineStr">
        <is>
          <t xml:space="preserve">BF </t>
        </is>
      </c>
      <c r="S1438" t="n">
        <v>0</v>
      </c>
      <c r="T1438" t="n">
        <v>3</v>
      </c>
      <c r="U1438" t="inlineStr">
        <is>
          <t>2008-08-15</t>
        </is>
      </c>
      <c r="V1438" t="inlineStr">
        <is>
          <t>2008-08-15</t>
        </is>
      </c>
      <c r="W1438" t="inlineStr">
        <is>
          <t>2008-08-14</t>
        </is>
      </c>
      <c r="X1438" t="inlineStr">
        <is>
          <t>2008-08-14</t>
        </is>
      </c>
      <c r="Y1438" t="n">
        <v>1116</v>
      </c>
      <c r="Z1438" t="n">
        <v>993</v>
      </c>
      <c r="AA1438" t="n">
        <v>1099</v>
      </c>
      <c r="AB1438" t="n">
        <v>8</v>
      </c>
      <c r="AC1438" t="n">
        <v>8</v>
      </c>
      <c r="AD1438" t="n">
        <v>26</v>
      </c>
      <c r="AE1438" t="n">
        <v>28</v>
      </c>
      <c r="AF1438" t="n">
        <v>7</v>
      </c>
      <c r="AG1438" t="n">
        <v>9</v>
      </c>
      <c r="AH1438" t="n">
        <v>5</v>
      </c>
      <c r="AI1438" t="n">
        <v>6</v>
      </c>
      <c r="AJ1438" t="n">
        <v>14</v>
      </c>
      <c r="AK1438" t="n">
        <v>14</v>
      </c>
      <c r="AL1438" t="n">
        <v>5</v>
      </c>
      <c r="AM1438" t="n">
        <v>5</v>
      </c>
      <c r="AN1438" t="n">
        <v>0</v>
      </c>
      <c r="AO1438" t="n">
        <v>0</v>
      </c>
      <c r="AP1438" t="inlineStr">
        <is>
          <t>No</t>
        </is>
      </c>
      <c r="AQ1438" t="inlineStr">
        <is>
          <t>Yes</t>
        </is>
      </c>
      <c r="AR1438">
        <f>HYPERLINK("http://catalog.hathitrust.org/Record/004920070","HathiTrust Record")</f>
        <v/>
      </c>
      <c r="AS1438">
        <f>HYPERLINK("https://creighton-primo.hosted.exlibrisgroup.com/primo-explore/search?tab=default_tab&amp;search_scope=EVERYTHING&amp;vid=01CRU&amp;lang=en_US&amp;offset=0&amp;query=any,contains,991001730279702656","Catalog Record")</f>
        <v/>
      </c>
      <c r="AT1438">
        <f>HYPERLINK("http://www.worldcat.org/oclc/55131380","WorldCat Record")</f>
        <v/>
      </c>
    </row>
    <row r="1439">
      <c r="A1439" t="inlineStr">
        <is>
          <t>No</t>
        </is>
      </c>
      <c r="B1439" t="inlineStr">
        <is>
          <t>BF713 .P79</t>
        </is>
      </c>
      <c r="C1439" t="inlineStr">
        <is>
          <t>0                      BF 0713000P  79</t>
        </is>
      </c>
      <c r="D1439" t="inlineStr">
        <is>
          <t>Psychosocial caring throughout the life span / editors, Irene Mortenson Burnside, Priscilla Ebersole, Helen Elena Monea.</t>
        </is>
      </c>
      <c r="F1439" t="inlineStr">
        <is>
          <t>No</t>
        </is>
      </c>
      <c r="G1439" t="inlineStr">
        <is>
          <t>1</t>
        </is>
      </c>
      <c r="H1439" t="inlineStr">
        <is>
          <t>Yes</t>
        </is>
      </c>
      <c r="I1439" t="inlineStr">
        <is>
          <t>No</t>
        </is>
      </c>
      <c r="J1439" t="inlineStr">
        <is>
          <t>0</t>
        </is>
      </c>
      <c r="L1439" t="inlineStr">
        <is>
          <t>New York : McGraw-Hill, c1979.</t>
        </is>
      </c>
      <c r="M1439" t="inlineStr">
        <is>
          <t>1979</t>
        </is>
      </c>
      <c r="O1439" t="inlineStr">
        <is>
          <t>eng</t>
        </is>
      </c>
      <c r="P1439" t="inlineStr">
        <is>
          <t>nyu</t>
        </is>
      </c>
      <c r="R1439" t="inlineStr">
        <is>
          <t xml:space="preserve">BF </t>
        </is>
      </c>
      <c r="S1439" t="n">
        <v>11</v>
      </c>
      <c r="T1439" t="n">
        <v>19</v>
      </c>
      <c r="U1439" t="inlineStr">
        <is>
          <t>1996-10-14</t>
        </is>
      </c>
      <c r="V1439" t="inlineStr">
        <is>
          <t>2009-03-24</t>
        </is>
      </c>
      <c r="W1439" t="inlineStr">
        <is>
          <t>1987-10-19</t>
        </is>
      </c>
      <c r="X1439" t="inlineStr">
        <is>
          <t>1990-07-23</t>
        </is>
      </c>
      <c r="Y1439" t="n">
        <v>415</v>
      </c>
      <c r="Z1439" t="n">
        <v>333</v>
      </c>
      <c r="AA1439" t="n">
        <v>335</v>
      </c>
      <c r="AB1439" t="n">
        <v>3</v>
      </c>
      <c r="AC1439" t="n">
        <v>3</v>
      </c>
      <c r="AD1439" t="n">
        <v>15</v>
      </c>
      <c r="AE1439" t="n">
        <v>15</v>
      </c>
      <c r="AF1439" t="n">
        <v>6</v>
      </c>
      <c r="AG1439" t="n">
        <v>6</v>
      </c>
      <c r="AH1439" t="n">
        <v>4</v>
      </c>
      <c r="AI1439" t="n">
        <v>4</v>
      </c>
      <c r="AJ1439" t="n">
        <v>9</v>
      </c>
      <c r="AK1439" t="n">
        <v>9</v>
      </c>
      <c r="AL1439" t="n">
        <v>1</v>
      </c>
      <c r="AM1439" t="n">
        <v>1</v>
      </c>
      <c r="AN1439" t="n">
        <v>0</v>
      </c>
      <c r="AO1439" t="n">
        <v>0</v>
      </c>
      <c r="AP1439" t="inlineStr">
        <is>
          <t>No</t>
        </is>
      </c>
      <c r="AQ1439" t="inlineStr">
        <is>
          <t>Yes</t>
        </is>
      </c>
      <c r="AR1439">
        <f>HYPERLINK("http://catalog.hathitrust.org/Record/000177841","HathiTrust Record")</f>
        <v/>
      </c>
      <c r="AS1439">
        <f>HYPERLINK("https://creighton-primo.hosted.exlibrisgroup.com/primo-explore/search?tab=default_tab&amp;search_scope=EVERYTHING&amp;vid=01CRU&amp;lang=en_US&amp;offset=0&amp;query=any,contains,991001759529702656","Catalog Record")</f>
        <v/>
      </c>
      <c r="AT1439">
        <f>HYPERLINK("http://www.worldcat.org/oclc/4036839","WorldCat Record")</f>
        <v/>
      </c>
    </row>
    <row r="1440">
      <c r="A1440" t="inlineStr">
        <is>
          <t>No</t>
        </is>
      </c>
      <c r="B1440" t="inlineStr">
        <is>
          <t>BF713 P213h 2004</t>
        </is>
      </c>
      <c r="C1440" t="inlineStr">
        <is>
          <t>0                      BF 0713000P  213h        2004</t>
        </is>
      </c>
      <c r="D1440" t="inlineStr">
        <is>
          <t>Human development / Diane E. Papalia, Sally Wendkos Olds, Ruth Duskin Feldman ; in consultation with Dana Gross.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Yes</t>
        </is>
      </c>
      <c r="J1440" t="inlineStr">
        <is>
          <t>0</t>
        </is>
      </c>
      <c r="K1440" t="inlineStr">
        <is>
          <t>Papalia, Diane E.</t>
        </is>
      </c>
      <c r="L1440" t="inlineStr">
        <is>
          <t>Boston : McGraw-Hill, c2004.</t>
        </is>
      </c>
      <c r="M1440" t="inlineStr">
        <is>
          <t>2004</t>
        </is>
      </c>
      <c r="N1440" t="inlineStr">
        <is>
          <t>9th ed.</t>
        </is>
      </c>
      <c r="O1440" t="inlineStr">
        <is>
          <t>eng</t>
        </is>
      </c>
      <c r="P1440" t="inlineStr">
        <is>
          <t>mau</t>
        </is>
      </c>
      <c r="R1440" t="inlineStr">
        <is>
          <t xml:space="preserve">BF </t>
        </is>
      </c>
      <c r="S1440" t="n">
        <v>16</v>
      </c>
      <c r="T1440" t="n">
        <v>16</v>
      </c>
      <c r="U1440" t="inlineStr">
        <is>
          <t>2007-11-29</t>
        </is>
      </c>
      <c r="V1440" t="inlineStr">
        <is>
          <t>2007-11-29</t>
        </is>
      </c>
      <c r="W1440" t="inlineStr">
        <is>
          <t>2003-08-25</t>
        </is>
      </c>
      <c r="X1440" t="inlineStr">
        <is>
          <t>2003-08-25</t>
        </is>
      </c>
      <c r="Y1440" t="n">
        <v>114</v>
      </c>
      <c r="Z1440" t="n">
        <v>73</v>
      </c>
      <c r="AA1440" t="n">
        <v>911</v>
      </c>
      <c r="AB1440" t="n">
        <v>1</v>
      </c>
      <c r="AC1440" t="n">
        <v>9</v>
      </c>
      <c r="AD1440" t="n">
        <v>0</v>
      </c>
      <c r="AE1440" t="n">
        <v>29</v>
      </c>
      <c r="AF1440" t="n">
        <v>0</v>
      </c>
      <c r="AG1440" t="n">
        <v>12</v>
      </c>
      <c r="AH1440" t="n">
        <v>0</v>
      </c>
      <c r="AI1440" t="n">
        <v>4</v>
      </c>
      <c r="AJ1440" t="n">
        <v>0</v>
      </c>
      <c r="AK1440" t="n">
        <v>14</v>
      </c>
      <c r="AL1440" t="n">
        <v>0</v>
      </c>
      <c r="AM1440" t="n">
        <v>6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No</t>
        </is>
      </c>
      <c r="AS1440">
        <f>HYPERLINK("https://creighton-primo.hosted.exlibrisgroup.com/primo-explore/search?tab=default_tab&amp;search_scope=EVERYTHING&amp;vid=01CRU&amp;lang=en_US&amp;offset=0&amp;query=any,contains,991001724009702656","Catalog Record")</f>
        <v/>
      </c>
      <c r="AT1440">
        <f>HYPERLINK("http://www.worldcat.org/oclc/51534775","WorldCat Record")</f>
        <v/>
      </c>
    </row>
    <row r="1441">
      <c r="A1441" t="inlineStr">
        <is>
          <t>No</t>
        </is>
      </c>
      <c r="B1441" t="inlineStr">
        <is>
          <t>BF722 .B76</t>
        </is>
      </c>
      <c r="C1441" t="inlineStr">
        <is>
          <t>0                      BF 0722000B  76</t>
        </is>
      </c>
      <c r="D1441" t="inlineStr">
        <is>
          <t>The ecology of human development : experiments by nature and design / Urie Bronfenbrenner.</t>
        </is>
      </c>
      <c r="F1441" t="inlineStr">
        <is>
          <t>No</t>
        </is>
      </c>
      <c r="G1441" t="inlineStr">
        <is>
          <t>1</t>
        </is>
      </c>
      <c r="H1441" t="inlineStr">
        <is>
          <t>Yes</t>
        </is>
      </c>
      <c r="I1441" t="inlineStr">
        <is>
          <t>No</t>
        </is>
      </c>
      <c r="J1441" t="inlineStr">
        <is>
          <t>1</t>
        </is>
      </c>
      <c r="K1441" t="inlineStr">
        <is>
          <t>Bronfenbrenner, Urie, 1917-2005.</t>
        </is>
      </c>
      <c r="L1441" t="inlineStr">
        <is>
          <t>Cambridge, Mass. : Harvard University Press, 1979.</t>
        </is>
      </c>
      <c r="M1441" t="inlineStr">
        <is>
          <t>1979</t>
        </is>
      </c>
      <c r="O1441" t="inlineStr">
        <is>
          <t>eng</t>
        </is>
      </c>
      <c r="P1441" t="inlineStr">
        <is>
          <t>mau</t>
        </is>
      </c>
      <c r="R1441" t="inlineStr">
        <is>
          <t xml:space="preserve">BF </t>
        </is>
      </c>
      <c r="S1441" t="n">
        <v>3</v>
      </c>
      <c r="T1441" t="n">
        <v>17</v>
      </c>
      <c r="U1441" t="inlineStr">
        <is>
          <t>2003-04-15</t>
        </is>
      </c>
      <c r="V1441" t="inlineStr">
        <is>
          <t>2009-04-14</t>
        </is>
      </c>
      <c r="W1441" t="inlineStr">
        <is>
          <t>1987-12-31</t>
        </is>
      </c>
      <c r="X1441" t="inlineStr">
        <is>
          <t>1992-12-18</t>
        </is>
      </c>
      <c r="Y1441" t="n">
        <v>1366</v>
      </c>
      <c r="Z1441" t="n">
        <v>1090</v>
      </c>
      <c r="AA1441" t="n">
        <v>1780</v>
      </c>
      <c r="AB1441" t="n">
        <v>12</v>
      </c>
      <c r="AC1441" t="n">
        <v>19</v>
      </c>
      <c r="AD1441" t="n">
        <v>41</v>
      </c>
      <c r="AE1441" t="n">
        <v>62</v>
      </c>
      <c r="AF1441" t="n">
        <v>18</v>
      </c>
      <c r="AG1441" t="n">
        <v>23</v>
      </c>
      <c r="AH1441" t="n">
        <v>6</v>
      </c>
      <c r="AI1441" t="n">
        <v>11</v>
      </c>
      <c r="AJ1441" t="n">
        <v>15</v>
      </c>
      <c r="AK1441" t="n">
        <v>21</v>
      </c>
      <c r="AL1441" t="n">
        <v>9</v>
      </c>
      <c r="AM1441" t="n">
        <v>16</v>
      </c>
      <c r="AN1441" t="n">
        <v>0</v>
      </c>
      <c r="AO1441" t="n">
        <v>2</v>
      </c>
      <c r="AP1441" t="inlineStr">
        <is>
          <t>No</t>
        </is>
      </c>
      <c r="AQ1441" t="inlineStr">
        <is>
          <t>Yes</t>
        </is>
      </c>
      <c r="AR1441">
        <f>HYPERLINK("http://catalog.hathitrust.org/Record/000017100","HathiTrust Record")</f>
        <v/>
      </c>
      <c r="AS1441">
        <f>HYPERLINK("https://creighton-primo.hosted.exlibrisgroup.com/primo-explore/search?tab=default_tab&amp;search_scope=EVERYTHING&amp;vid=01CRU&amp;lang=en_US&amp;offset=0&amp;query=any,contains,991001784679702656","Catalog Record")</f>
        <v/>
      </c>
      <c r="AT1441">
        <f>HYPERLINK("http://www.worldcat.org/oclc/4515541","WorldCat Record")</f>
        <v/>
      </c>
    </row>
    <row r="1442">
      <c r="A1442" t="inlineStr">
        <is>
          <t>No</t>
        </is>
      </c>
      <c r="B1442" t="inlineStr">
        <is>
          <t>BF722 .T47 1984</t>
        </is>
      </c>
      <c r="C1442" t="inlineStr">
        <is>
          <t>0                      BF 0722000T  47          1984</t>
        </is>
      </c>
      <c r="D1442" t="inlineStr">
        <is>
          <t>Testing children : a reference guide for effective clinical and psychoeducational assessments / S. Joseph Weaver, general editor ; foreword by Alan S. Kaufman.</t>
        </is>
      </c>
      <c r="F1442" t="inlineStr">
        <is>
          <t>No</t>
        </is>
      </c>
      <c r="G1442" t="inlineStr">
        <is>
          <t>1</t>
        </is>
      </c>
      <c r="H1442" t="inlineStr">
        <is>
          <t>Yes</t>
        </is>
      </c>
      <c r="I1442" t="inlineStr">
        <is>
          <t>No</t>
        </is>
      </c>
      <c r="J1442" t="inlineStr">
        <is>
          <t>0</t>
        </is>
      </c>
      <c r="L1442" t="inlineStr">
        <is>
          <t>Kansas City, Mo. : Test Corp. of America, [1984]</t>
        </is>
      </c>
      <c r="M1442" t="inlineStr">
        <is>
          <t>1984</t>
        </is>
      </c>
      <c r="O1442" t="inlineStr">
        <is>
          <t>eng</t>
        </is>
      </c>
      <c r="P1442" t="inlineStr">
        <is>
          <t>mou</t>
        </is>
      </c>
      <c r="R1442" t="inlineStr">
        <is>
          <t xml:space="preserve">BF </t>
        </is>
      </c>
      <c r="S1442" t="n">
        <v>2</v>
      </c>
      <c r="T1442" t="n">
        <v>4</v>
      </c>
      <c r="U1442" t="inlineStr">
        <is>
          <t>1997-01-21</t>
        </is>
      </c>
      <c r="V1442" t="inlineStr">
        <is>
          <t>1997-01-21</t>
        </is>
      </c>
      <c r="W1442" t="inlineStr">
        <is>
          <t>1987-08-28</t>
        </is>
      </c>
      <c r="X1442" t="inlineStr">
        <is>
          <t>1993-04-07</t>
        </is>
      </c>
      <c r="Y1442" t="n">
        <v>687</v>
      </c>
      <c r="Z1442" t="n">
        <v>609</v>
      </c>
      <c r="AA1442" t="n">
        <v>614</v>
      </c>
      <c r="AB1442" t="n">
        <v>6</v>
      </c>
      <c r="AC1442" t="n">
        <v>6</v>
      </c>
      <c r="AD1442" t="n">
        <v>29</v>
      </c>
      <c r="AE1442" t="n">
        <v>29</v>
      </c>
      <c r="AF1442" t="n">
        <v>14</v>
      </c>
      <c r="AG1442" t="n">
        <v>14</v>
      </c>
      <c r="AH1442" t="n">
        <v>6</v>
      </c>
      <c r="AI1442" t="n">
        <v>6</v>
      </c>
      <c r="AJ1442" t="n">
        <v>14</v>
      </c>
      <c r="AK1442" t="n">
        <v>14</v>
      </c>
      <c r="AL1442" t="n">
        <v>4</v>
      </c>
      <c r="AM1442" t="n">
        <v>4</v>
      </c>
      <c r="AN1442" t="n">
        <v>0</v>
      </c>
      <c r="AO1442" t="n">
        <v>0</v>
      </c>
      <c r="AP1442" t="inlineStr">
        <is>
          <t>No</t>
        </is>
      </c>
      <c r="AQ1442" t="inlineStr">
        <is>
          <t>Yes</t>
        </is>
      </c>
      <c r="AR1442">
        <f>HYPERLINK("http://catalog.hathitrust.org/Record/000608436","HathiTrust Record")</f>
        <v/>
      </c>
      <c r="AS1442">
        <f>HYPERLINK("https://creighton-primo.hosted.exlibrisgroup.com/primo-explore/search?tab=default_tab&amp;search_scope=EVERYTHING&amp;vid=01CRU&amp;lang=en_US&amp;offset=0&amp;query=any,contains,991001762769702656","Catalog Record")</f>
        <v/>
      </c>
      <c r="AT1442">
        <f>HYPERLINK("http://www.worldcat.org/oclc/10925015","WorldCat Record")</f>
        <v/>
      </c>
    </row>
    <row r="1443">
      <c r="A1443" t="inlineStr">
        <is>
          <t>No</t>
        </is>
      </c>
      <c r="B1443" t="inlineStr">
        <is>
          <t>BF723.D7 P513 1967</t>
        </is>
      </c>
      <c r="C1443" t="inlineStr">
        <is>
          <t>0                      BF 0723000D  7                  P  513         1967</t>
        </is>
      </c>
      <c r="D1443" t="inlineStr">
        <is>
          <t>The child's conception of space, by Jean Piaget and Bärbel Inhelder. Translated from the French by F. J. Langdon &amp; J. L. Lunzer.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K1443" t="inlineStr">
        <is>
          <t>Piaget, Jean, 1896-1980.</t>
        </is>
      </c>
      <c r="L1443" t="inlineStr">
        <is>
          <t>New York, W. W. Norton [1967]</t>
        </is>
      </c>
      <c r="M1443" t="inlineStr">
        <is>
          <t>1967</t>
        </is>
      </c>
      <c r="O1443" t="inlineStr">
        <is>
          <t>eng</t>
        </is>
      </c>
      <c r="P1443" t="inlineStr">
        <is>
          <t>nyu</t>
        </is>
      </c>
      <c r="Q1443" t="inlineStr">
        <is>
          <t>The Norton library, no. 408</t>
        </is>
      </c>
      <c r="R1443" t="inlineStr">
        <is>
          <t xml:space="preserve">BF </t>
        </is>
      </c>
      <c r="S1443" t="n">
        <v>3</v>
      </c>
      <c r="T1443" t="n">
        <v>3</v>
      </c>
      <c r="U1443" t="inlineStr">
        <is>
          <t>1992-12-04</t>
        </is>
      </c>
      <c r="V1443" t="inlineStr">
        <is>
          <t>1992-12-04</t>
        </is>
      </c>
      <c r="W1443" t="inlineStr">
        <is>
          <t>1988-01-18</t>
        </is>
      </c>
      <c r="X1443" t="inlineStr">
        <is>
          <t>1988-01-18</t>
        </is>
      </c>
      <c r="Y1443" t="n">
        <v>725</v>
      </c>
      <c r="Z1443" t="n">
        <v>661</v>
      </c>
      <c r="AA1443" t="n">
        <v>1158</v>
      </c>
      <c r="AB1443" t="n">
        <v>4</v>
      </c>
      <c r="AC1443" t="n">
        <v>8</v>
      </c>
      <c r="AD1443" t="n">
        <v>23</v>
      </c>
      <c r="AE1443" t="n">
        <v>49</v>
      </c>
      <c r="AF1443" t="n">
        <v>8</v>
      </c>
      <c r="AG1443" t="n">
        <v>21</v>
      </c>
      <c r="AH1443" t="n">
        <v>3</v>
      </c>
      <c r="AI1443" t="n">
        <v>9</v>
      </c>
      <c r="AJ1443" t="n">
        <v>11</v>
      </c>
      <c r="AK1443" t="n">
        <v>23</v>
      </c>
      <c r="AL1443" t="n">
        <v>3</v>
      </c>
      <c r="AM1443" t="n">
        <v>7</v>
      </c>
      <c r="AN1443" t="n">
        <v>0</v>
      </c>
      <c r="AO1443" t="n">
        <v>0</v>
      </c>
      <c r="AP1443" t="inlineStr">
        <is>
          <t>No</t>
        </is>
      </c>
      <c r="AQ1443" t="inlineStr">
        <is>
          <t>No</t>
        </is>
      </c>
      <c r="AS1443">
        <f>HYPERLINK("https://creighton-primo.hosted.exlibrisgroup.com/primo-explore/search?tab=default_tab&amp;search_scope=EVERYTHING&amp;vid=01CRU&amp;lang=en_US&amp;offset=0&amp;query=any,contains,991001096409702656","Catalog Record")</f>
        <v/>
      </c>
      <c r="AT1443">
        <f>HYPERLINK("http://www.worldcat.org/oclc/444733","WorldCat Record")</f>
        <v/>
      </c>
    </row>
    <row r="1444">
      <c r="A1444" t="inlineStr">
        <is>
          <t>No</t>
        </is>
      </c>
      <c r="B1444" t="inlineStr">
        <is>
          <t>BF723.M54 K87 1987</t>
        </is>
      </c>
      <c r="C1444" t="inlineStr">
        <is>
          <t>0                      BF 0723000M  54                 K  87          1987</t>
        </is>
      </c>
      <c r="D1444" t="inlineStr">
        <is>
          <t>Moral development through social interaction / William M. Kurtines, Jacob L. Gewirtz.</t>
        </is>
      </c>
      <c r="F1444" t="inlineStr">
        <is>
          <t>No</t>
        </is>
      </c>
      <c r="G1444" t="inlineStr">
        <is>
          <t>1</t>
        </is>
      </c>
      <c r="H1444" t="inlineStr">
        <is>
          <t>Yes</t>
        </is>
      </c>
      <c r="I1444" t="inlineStr">
        <is>
          <t>No</t>
        </is>
      </c>
      <c r="J1444" t="inlineStr">
        <is>
          <t>0</t>
        </is>
      </c>
      <c r="K1444" t="inlineStr">
        <is>
          <t>Kurtines, William M.</t>
        </is>
      </c>
      <c r="L1444" t="inlineStr">
        <is>
          <t>New York : Wiley, c1987.</t>
        </is>
      </c>
      <c r="M1444" t="inlineStr">
        <is>
          <t>1987</t>
        </is>
      </c>
      <c r="O1444" t="inlineStr">
        <is>
          <t>eng</t>
        </is>
      </c>
      <c r="P1444" t="inlineStr">
        <is>
          <t>nyu</t>
        </is>
      </c>
      <c r="R1444" t="inlineStr">
        <is>
          <t xml:space="preserve">BF </t>
        </is>
      </c>
      <c r="S1444" t="n">
        <v>6</v>
      </c>
      <c r="T1444" t="n">
        <v>16</v>
      </c>
      <c r="U1444" t="inlineStr">
        <is>
          <t>1993-11-06</t>
        </is>
      </c>
      <c r="V1444" t="inlineStr">
        <is>
          <t>2010-10-25</t>
        </is>
      </c>
      <c r="W1444" t="inlineStr">
        <is>
          <t>1988-02-18</t>
        </is>
      </c>
      <c r="X1444" t="inlineStr">
        <is>
          <t>1990-06-12</t>
        </is>
      </c>
      <c r="Y1444" t="n">
        <v>465</v>
      </c>
      <c r="Z1444" t="n">
        <v>354</v>
      </c>
      <c r="AA1444" t="n">
        <v>355</v>
      </c>
      <c r="AB1444" t="n">
        <v>6</v>
      </c>
      <c r="AC1444" t="n">
        <v>6</v>
      </c>
      <c r="AD1444" t="n">
        <v>21</v>
      </c>
      <c r="AE1444" t="n">
        <v>21</v>
      </c>
      <c r="AF1444" t="n">
        <v>7</v>
      </c>
      <c r="AG1444" t="n">
        <v>7</v>
      </c>
      <c r="AH1444" t="n">
        <v>4</v>
      </c>
      <c r="AI1444" t="n">
        <v>4</v>
      </c>
      <c r="AJ1444" t="n">
        <v>11</v>
      </c>
      <c r="AK1444" t="n">
        <v>11</v>
      </c>
      <c r="AL1444" t="n">
        <v>4</v>
      </c>
      <c r="AM1444" t="n">
        <v>4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Yes</t>
        </is>
      </c>
      <c r="AR1444">
        <f>HYPERLINK("http://catalog.hathitrust.org/Record/000858010","HathiTrust Record")</f>
        <v/>
      </c>
      <c r="AS1444">
        <f>HYPERLINK("https://creighton-primo.hosted.exlibrisgroup.com/primo-explore/search?tab=default_tab&amp;search_scope=EVERYTHING&amp;vid=01CRU&amp;lang=en_US&amp;offset=0&amp;query=any,contains,991001788569702656","Catalog Record")</f>
        <v/>
      </c>
      <c r="AT1444">
        <f>HYPERLINK("http://www.worldcat.org/oclc/15549708","WorldCat Record")</f>
        <v/>
      </c>
    </row>
    <row r="1445">
      <c r="A1445" t="inlineStr">
        <is>
          <t>No</t>
        </is>
      </c>
      <c r="B1445" t="inlineStr">
        <is>
          <t>BF723.M6 D48 1982</t>
        </is>
      </c>
      <c r="C1445" t="inlineStr">
        <is>
          <t>0                      BF 0723000M  6                  D  48          1982</t>
        </is>
      </c>
      <c r="D1445" t="inlineStr">
        <is>
          <t>The Development of movement control and coordination / edited by J.A. Scott Kelso and Jane E. Clark.</t>
        </is>
      </c>
      <c r="F1445" t="inlineStr">
        <is>
          <t>No</t>
        </is>
      </c>
      <c r="G1445" t="inlineStr">
        <is>
          <t>1</t>
        </is>
      </c>
      <c r="H1445" t="inlineStr">
        <is>
          <t>Yes</t>
        </is>
      </c>
      <c r="I1445" t="inlineStr">
        <is>
          <t>No</t>
        </is>
      </c>
      <c r="J1445" t="inlineStr">
        <is>
          <t>0</t>
        </is>
      </c>
      <c r="L1445" t="inlineStr">
        <is>
          <t>Chichester [West Sussex] ; New York : Wiley, c1982.</t>
        </is>
      </c>
      <c r="M1445" t="inlineStr">
        <is>
          <t>1982</t>
        </is>
      </c>
      <c r="O1445" t="inlineStr">
        <is>
          <t>eng</t>
        </is>
      </c>
      <c r="P1445" t="inlineStr">
        <is>
          <t>enk</t>
        </is>
      </c>
      <c r="Q1445" t="inlineStr">
        <is>
          <t>Developmental psychology</t>
        </is>
      </c>
      <c r="R1445" t="inlineStr">
        <is>
          <t xml:space="preserve">BF </t>
        </is>
      </c>
      <c r="S1445" t="n">
        <v>5</v>
      </c>
      <c r="T1445" t="n">
        <v>7</v>
      </c>
      <c r="U1445" t="inlineStr">
        <is>
          <t>2006-05-21</t>
        </is>
      </c>
      <c r="V1445" t="inlineStr">
        <is>
          <t>2006-05-21</t>
        </is>
      </c>
      <c r="W1445" t="inlineStr">
        <is>
          <t>1987-12-31</t>
        </is>
      </c>
      <c r="X1445" t="inlineStr">
        <is>
          <t>1993-04-07</t>
        </is>
      </c>
      <c r="Y1445" t="n">
        <v>399</v>
      </c>
      <c r="Z1445" t="n">
        <v>278</v>
      </c>
      <c r="AA1445" t="n">
        <v>284</v>
      </c>
      <c r="AB1445" t="n">
        <v>4</v>
      </c>
      <c r="AC1445" t="n">
        <v>4</v>
      </c>
      <c r="AD1445" t="n">
        <v>11</v>
      </c>
      <c r="AE1445" t="n">
        <v>11</v>
      </c>
      <c r="AF1445" t="n">
        <v>2</v>
      </c>
      <c r="AG1445" t="n">
        <v>2</v>
      </c>
      <c r="AH1445" t="n">
        <v>4</v>
      </c>
      <c r="AI1445" t="n">
        <v>4</v>
      </c>
      <c r="AJ1445" t="n">
        <v>5</v>
      </c>
      <c r="AK1445" t="n">
        <v>5</v>
      </c>
      <c r="AL1445" t="n">
        <v>2</v>
      </c>
      <c r="AM1445" t="n">
        <v>2</v>
      </c>
      <c r="AN1445" t="n">
        <v>0</v>
      </c>
      <c r="AO1445" t="n">
        <v>0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HYPERLINK("http://catalog.hathitrust.org/Record/000764835","HathiTrust Record")</f>
        <v/>
      </c>
      <c r="AS1445">
        <f>HYPERLINK("https://creighton-primo.hosted.exlibrisgroup.com/primo-explore/search?tab=default_tab&amp;search_scope=EVERYTHING&amp;vid=01CRU&amp;lang=en_US&amp;offset=0&amp;query=any,contains,991001784779702656","Catalog Record")</f>
        <v/>
      </c>
      <c r="AT1445">
        <f>HYPERLINK("http://www.worldcat.org/oclc/7795126","WorldCat Record")</f>
        <v/>
      </c>
    </row>
    <row r="1446">
      <c r="A1446" t="inlineStr">
        <is>
          <t>No</t>
        </is>
      </c>
      <c r="B1446" t="inlineStr">
        <is>
          <t>BF723.P25 B695</t>
        </is>
      </c>
      <c r="C1446" t="inlineStr">
        <is>
          <t>0                      BF 0723000P  25                 B  695</t>
        </is>
      </c>
      <c r="D1446" t="inlineStr">
        <is>
          <t>Mothers, fathers, and children : explorations in the formation of character in the first seven years / Sylvia Brody and Sidney Axelrad, in association with Ethel Horn, Marsha Moroh, Marvin Taylor.</t>
        </is>
      </c>
      <c r="F1446" t="inlineStr">
        <is>
          <t>No</t>
        </is>
      </c>
      <c r="G1446" t="inlineStr">
        <is>
          <t>1</t>
        </is>
      </c>
      <c r="H1446" t="inlineStr">
        <is>
          <t>Yes</t>
        </is>
      </c>
      <c r="I1446" t="inlineStr">
        <is>
          <t>No</t>
        </is>
      </c>
      <c r="J1446" t="inlineStr">
        <is>
          <t>0</t>
        </is>
      </c>
      <c r="K1446" t="inlineStr">
        <is>
          <t>Brody, Sylvia, 1914-</t>
        </is>
      </c>
      <c r="L1446" t="inlineStr">
        <is>
          <t>New York : International Universities Press, c1978.</t>
        </is>
      </c>
      <c r="M1446" t="inlineStr">
        <is>
          <t>1978</t>
        </is>
      </c>
      <c r="O1446" t="inlineStr">
        <is>
          <t>eng</t>
        </is>
      </c>
      <c r="P1446" t="inlineStr">
        <is>
          <t>nyu</t>
        </is>
      </c>
      <c r="R1446" t="inlineStr">
        <is>
          <t xml:space="preserve">BF </t>
        </is>
      </c>
      <c r="S1446" t="n">
        <v>0</v>
      </c>
      <c r="T1446" t="n">
        <v>9</v>
      </c>
      <c r="V1446" t="inlineStr">
        <is>
          <t>2004-10-25</t>
        </is>
      </c>
      <c r="W1446" t="inlineStr">
        <is>
          <t>1988-01-03</t>
        </is>
      </c>
      <c r="X1446" t="inlineStr">
        <is>
          <t>1991-12-13</t>
        </is>
      </c>
      <c r="Y1446" t="n">
        <v>541</v>
      </c>
      <c r="Z1446" t="n">
        <v>471</v>
      </c>
      <c r="AA1446" t="n">
        <v>473</v>
      </c>
      <c r="AB1446" t="n">
        <v>4</v>
      </c>
      <c r="AC1446" t="n">
        <v>4</v>
      </c>
      <c r="AD1446" t="n">
        <v>16</v>
      </c>
      <c r="AE1446" t="n">
        <v>16</v>
      </c>
      <c r="AF1446" t="n">
        <v>5</v>
      </c>
      <c r="AG1446" t="n">
        <v>5</v>
      </c>
      <c r="AH1446" t="n">
        <v>4</v>
      </c>
      <c r="AI1446" t="n">
        <v>4</v>
      </c>
      <c r="AJ1446" t="n">
        <v>10</v>
      </c>
      <c r="AK1446" t="n">
        <v>10</v>
      </c>
      <c r="AL1446" t="n">
        <v>1</v>
      </c>
      <c r="AM1446" t="n">
        <v>1</v>
      </c>
      <c r="AN1446" t="n">
        <v>0</v>
      </c>
      <c r="AO1446" t="n">
        <v>0</v>
      </c>
      <c r="AP1446" t="inlineStr">
        <is>
          <t>No</t>
        </is>
      </c>
      <c r="AQ1446" t="inlineStr">
        <is>
          <t>Yes</t>
        </is>
      </c>
      <c r="AR1446">
        <f>HYPERLINK("http://catalog.hathitrust.org/Record/000138766","HathiTrust Record")</f>
        <v/>
      </c>
      <c r="AS1446">
        <f>HYPERLINK("https://creighton-primo.hosted.exlibrisgroup.com/primo-explore/search?tab=default_tab&amp;search_scope=EVERYTHING&amp;vid=01CRU&amp;lang=en_US&amp;offset=0&amp;query=any,contains,991001785009702656","Catalog Record")</f>
        <v/>
      </c>
      <c r="AT1446">
        <f>HYPERLINK("http://www.worldcat.org/oclc/3631390","WorldCat Record")</f>
        <v/>
      </c>
    </row>
    <row r="1447">
      <c r="A1447" t="inlineStr">
        <is>
          <t>No</t>
        </is>
      </c>
      <c r="B1447" t="inlineStr">
        <is>
          <t>BF724 .A25 1980</t>
        </is>
      </c>
      <c r="C1447" t="inlineStr">
        <is>
          <t>0                      BF 0724000A  25          1980</t>
        </is>
      </c>
      <c r="D1447" t="inlineStr">
        <is>
          <t>Understanding adolescence : current developments in adolescent psychology / [edited by] James F. Adams.</t>
        </is>
      </c>
      <c r="F1447" t="inlineStr">
        <is>
          <t>No</t>
        </is>
      </c>
      <c r="G1447" t="inlineStr">
        <is>
          <t>1</t>
        </is>
      </c>
      <c r="H1447" t="inlineStr">
        <is>
          <t>Yes</t>
        </is>
      </c>
      <c r="I1447" t="inlineStr">
        <is>
          <t>No</t>
        </is>
      </c>
      <c r="J1447" t="inlineStr">
        <is>
          <t>0</t>
        </is>
      </c>
      <c r="K1447" t="inlineStr">
        <is>
          <t>Adams, James Frederick, 1927-</t>
        </is>
      </c>
      <c r="L1447" t="inlineStr">
        <is>
          <t>Boston : Allyn and Bacon, c1980.</t>
        </is>
      </c>
      <c r="M1447" t="inlineStr">
        <is>
          <t>1980</t>
        </is>
      </c>
      <c r="N1447" t="inlineStr">
        <is>
          <t>4th ed.</t>
        </is>
      </c>
      <c r="O1447" t="inlineStr">
        <is>
          <t>eng</t>
        </is>
      </c>
      <c r="P1447" t="inlineStr">
        <is>
          <t>mau</t>
        </is>
      </c>
      <c r="R1447" t="inlineStr">
        <is>
          <t xml:space="preserve">BF </t>
        </is>
      </c>
      <c r="S1447" t="n">
        <v>5</v>
      </c>
      <c r="T1447" t="n">
        <v>18</v>
      </c>
      <c r="U1447" t="inlineStr">
        <is>
          <t>2001-10-18</t>
        </is>
      </c>
      <c r="V1447" t="inlineStr">
        <is>
          <t>2001-10-18</t>
        </is>
      </c>
      <c r="W1447" t="inlineStr">
        <is>
          <t>1988-01-07</t>
        </is>
      </c>
      <c r="X1447" t="inlineStr">
        <is>
          <t>1993-04-12</t>
        </is>
      </c>
      <c r="Y1447" t="n">
        <v>286</v>
      </c>
      <c r="Z1447" t="n">
        <v>218</v>
      </c>
      <c r="AA1447" t="n">
        <v>851</v>
      </c>
      <c r="AB1447" t="n">
        <v>5</v>
      </c>
      <c r="AC1447" t="n">
        <v>9</v>
      </c>
      <c r="AD1447" t="n">
        <v>8</v>
      </c>
      <c r="AE1447" t="n">
        <v>31</v>
      </c>
      <c r="AF1447" t="n">
        <v>0</v>
      </c>
      <c r="AG1447" t="n">
        <v>9</v>
      </c>
      <c r="AH1447" t="n">
        <v>1</v>
      </c>
      <c r="AI1447" t="n">
        <v>7</v>
      </c>
      <c r="AJ1447" t="n">
        <v>6</v>
      </c>
      <c r="AK1447" t="n">
        <v>17</v>
      </c>
      <c r="AL1447" t="n">
        <v>2</v>
      </c>
      <c r="AM1447" t="n">
        <v>5</v>
      </c>
      <c r="AN1447" t="n">
        <v>0</v>
      </c>
      <c r="AO1447" t="n">
        <v>0</v>
      </c>
      <c r="AP1447" t="inlineStr">
        <is>
          <t>No</t>
        </is>
      </c>
      <c r="AQ1447" t="inlineStr">
        <is>
          <t>Yes</t>
        </is>
      </c>
      <c r="AR1447">
        <f>HYPERLINK("http://catalog.hathitrust.org/Record/102214541","HathiTrust Record")</f>
        <v/>
      </c>
      <c r="AS1447">
        <f>HYPERLINK("https://creighton-primo.hosted.exlibrisgroup.com/primo-explore/search?tab=default_tab&amp;search_scope=EVERYTHING&amp;vid=01CRU&amp;lang=en_US&amp;offset=0&amp;query=any,contains,991001772939702656","Catalog Record")</f>
        <v/>
      </c>
      <c r="AT1447">
        <f>HYPERLINK("http://www.worldcat.org/oclc/5676006","WorldCat Record")</f>
        <v/>
      </c>
    </row>
    <row r="1448">
      <c r="A1448" t="inlineStr">
        <is>
          <t>No</t>
        </is>
      </c>
      <c r="B1448" t="inlineStr">
        <is>
          <t>BF724.3.D43 A36 1986</t>
        </is>
      </c>
      <c r="C1448" t="inlineStr">
        <is>
          <t>0                      BF 0724300D  43                 A  36          1986</t>
        </is>
      </c>
      <c r="D1448" t="inlineStr">
        <is>
          <t>Adolescence and death / Charles A. Corr, Joan N. McNeil, editors.</t>
        </is>
      </c>
      <c r="F1448" t="inlineStr">
        <is>
          <t>No</t>
        </is>
      </c>
      <c r="G1448" t="inlineStr">
        <is>
          <t>1</t>
        </is>
      </c>
      <c r="H1448" t="inlineStr">
        <is>
          <t>Yes</t>
        </is>
      </c>
      <c r="I1448" t="inlineStr">
        <is>
          <t>No</t>
        </is>
      </c>
      <c r="J1448" t="inlineStr">
        <is>
          <t>0</t>
        </is>
      </c>
      <c r="L1448" t="inlineStr">
        <is>
          <t>New York : Springer Pub. Co., c1986.</t>
        </is>
      </c>
      <c r="M1448" t="inlineStr">
        <is>
          <t>1986</t>
        </is>
      </c>
      <c r="O1448" t="inlineStr">
        <is>
          <t>eng</t>
        </is>
      </c>
      <c r="P1448" t="inlineStr">
        <is>
          <t>nyu</t>
        </is>
      </c>
      <c r="R1448" t="inlineStr">
        <is>
          <t xml:space="preserve">BF </t>
        </is>
      </c>
      <c r="S1448" t="n">
        <v>5</v>
      </c>
      <c r="T1448" t="n">
        <v>21</v>
      </c>
      <c r="U1448" t="inlineStr">
        <is>
          <t>1998-05-20</t>
        </is>
      </c>
      <c r="V1448" t="inlineStr">
        <is>
          <t>2006-11-15</t>
        </is>
      </c>
      <c r="W1448" t="inlineStr">
        <is>
          <t>1987-08-28</t>
        </is>
      </c>
      <c r="X1448" t="inlineStr">
        <is>
          <t>1992-04-30</t>
        </is>
      </c>
      <c r="Y1448" t="n">
        <v>922</v>
      </c>
      <c r="Z1448" t="n">
        <v>829</v>
      </c>
      <c r="AA1448" t="n">
        <v>835</v>
      </c>
      <c r="AB1448" t="n">
        <v>10</v>
      </c>
      <c r="AC1448" t="n">
        <v>10</v>
      </c>
      <c r="AD1448" t="n">
        <v>35</v>
      </c>
      <c r="AE1448" t="n">
        <v>35</v>
      </c>
      <c r="AF1448" t="n">
        <v>13</v>
      </c>
      <c r="AG1448" t="n">
        <v>13</v>
      </c>
      <c r="AH1448" t="n">
        <v>8</v>
      </c>
      <c r="AI1448" t="n">
        <v>8</v>
      </c>
      <c r="AJ1448" t="n">
        <v>17</v>
      </c>
      <c r="AK1448" t="n">
        <v>17</v>
      </c>
      <c r="AL1448" t="n">
        <v>7</v>
      </c>
      <c r="AM1448" t="n">
        <v>7</v>
      </c>
      <c r="AN1448" t="n">
        <v>0</v>
      </c>
      <c r="AO1448" t="n">
        <v>0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HYPERLINK("http://catalog.hathitrust.org/Record/000435143","HathiTrust Record")</f>
        <v/>
      </c>
      <c r="AS1448">
        <f>HYPERLINK("https://creighton-primo.hosted.exlibrisgroup.com/primo-explore/search?tab=default_tab&amp;search_scope=EVERYTHING&amp;vid=01CRU&amp;lang=en_US&amp;offset=0&amp;query=any,contains,991001762699702656","Catalog Record")</f>
        <v/>
      </c>
      <c r="AT1448">
        <f>HYPERLINK("http://www.worldcat.org/oclc/13064677","WorldCat Record")</f>
        <v/>
      </c>
    </row>
    <row r="1449">
      <c r="A1449" t="inlineStr">
        <is>
          <t>No</t>
        </is>
      </c>
      <c r="B1449" t="inlineStr">
        <is>
          <t>BF724.55.A35 H36 1990</t>
        </is>
      </c>
      <c r="C1449" t="inlineStr">
        <is>
          <t>0                      BF 0724550A  35                 H  36          1990</t>
        </is>
      </c>
      <c r="D1449" t="inlineStr">
        <is>
          <t>Handbook of the psychology of aging / editors, James E. Birren and K. Warner Schaie ; associate editors, Margaret Gatz, Timothy A. Salthouse, and Carmi Schooler ; editorial coordinator, Donna E. Deutchman.</t>
        </is>
      </c>
      <c r="F1449" t="inlineStr">
        <is>
          <t>No</t>
        </is>
      </c>
      <c r="G1449" t="inlineStr">
        <is>
          <t>1</t>
        </is>
      </c>
      <c r="H1449" t="inlineStr">
        <is>
          <t>Yes</t>
        </is>
      </c>
      <c r="I1449" t="inlineStr">
        <is>
          <t>No</t>
        </is>
      </c>
      <c r="J1449" t="inlineStr">
        <is>
          <t>0</t>
        </is>
      </c>
      <c r="L1449" t="inlineStr">
        <is>
          <t>San Diego : Academic Press, c1990.</t>
        </is>
      </c>
      <c r="M1449" t="inlineStr">
        <is>
          <t>1990</t>
        </is>
      </c>
      <c r="N1449" t="inlineStr">
        <is>
          <t>3rd ed.</t>
        </is>
      </c>
      <c r="O1449" t="inlineStr">
        <is>
          <t>eng</t>
        </is>
      </c>
      <c r="P1449" t="inlineStr">
        <is>
          <t>cau</t>
        </is>
      </c>
      <c r="Q1449" t="inlineStr">
        <is>
          <t>The Handbooks of aging</t>
        </is>
      </c>
      <c r="R1449" t="inlineStr">
        <is>
          <t xml:space="preserve">BF </t>
        </is>
      </c>
      <c r="S1449" t="n">
        <v>8</v>
      </c>
      <c r="T1449" t="n">
        <v>109</v>
      </c>
      <c r="U1449" t="inlineStr">
        <is>
          <t>2003-04-14</t>
        </is>
      </c>
      <c r="V1449" t="inlineStr">
        <is>
          <t>2007-08-13</t>
        </is>
      </c>
      <c r="W1449" t="inlineStr">
        <is>
          <t>1992-09-25</t>
        </is>
      </c>
      <c r="X1449" t="inlineStr">
        <is>
          <t>1992-09-25</t>
        </is>
      </c>
      <c r="Y1449" t="n">
        <v>665</v>
      </c>
      <c r="Z1449" t="n">
        <v>494</v>
      </c>
      <c r="AA1449" t="n">
        <v>540</v>
      </c>
      <c r="AB1449" t="n">
        <v>4</v>
      </c>
      <c r="AC1449" t="n">
        <v>5</v>
      </c>
      <c r="AD1449" t="n">
        <v>23</v>
      </c>
      <c r="AE1449" t="n">
        <v>26</v>
      </c>
      <c r="AF1449" t="n">
        <v>9</v>
      </c>
      <c r="AG1449" t="n">
        <v>10</v>
      </c>
      <c r="AH1449" t="n">
        <v>7</v>
      </c>
      <c r="AI1449" t="n">
        <v>8</v>
      </c>
      <c r="AJ1449" t="n">
        <v>14</v>
      </c>
      <c r="AK1449" t="n">
        <v>14</v>
      </c>
      <c r="AL1449" t="n">
        <v>2</v>
      </c>
      <c r="AM1449" t="n">
        <v>3</v>
      </c>
      <c r="AN1449" t="n">
        <v>0</v>
      </c>
      <c r="AO1449" t="n">
        <v>0</v>
      </c>
      <c r="AP1449" t="inlineStr">
        <is>
          <t>No</t>
        </is>
      </c>
      <c r="AQ1449" t="inlineStr">
        <is>
          <t>Yes</t>
        </is>
      </c>
      <c r="AR1449">
        <f>HYPERLINK("http://catalog.hathitrust.org/Record/001837734","HathiTrust Record")</f>
        <v/>
      </c>
      <c r="AS1449">
        <f>HYPERLINK("https://creighton-primo.hosted.exlibrisgroup.com/primo-explore/search?tab=default_tab&amp;search_scope=EVERYTHING&amp;vid=01CRU&amp;lang=en_US&amp;offset=0&amp;query=any,contains,991001796519702656","Catalog Record")</f>
        <v/>
      </c>
      <c r="AT1449">
        <f>HYPERLINK("http://www.worldcat.org/oclc/19921974","WorldCat Record")</f>
        <v/>
      </c>
    </row>
    <row r="1450">
      <c r="A1450" t="inlineStr">
        <is>
          <t>No</t>
        </is>
      </c>
      <c r="B1450" t="inlineStr">
        <is>
          <t>BF724.8 .H46 1979</t>
        </is>
      </c>
      <c r="C1450" t="inlineStr">
        <is>
          <t>0                      BF 0724800H  46          1979</t>
        </is>
      </c>
      <c r="D1450" t="inlineStr">
        <is>
          <t>Counseling elders and their families : practical techniques for applied gerontology / John J. Herr, John H. Weakland ; foreword by James E. Birren.</t>
        </is>
      </c>
      <c r="F1450" t="inlineStr">
        <is>
          <t>No</t>
        </is>
      </c>
      <c r="G1450" t="inlineStr">
        <is>
          <t>1</t>
        </is>
      </c>
      <c r="H1450" t="inlineStr">
        <is>
          <t>Yes</t>
        </is>
      </c>
      <c r="I1450" t="inlineStr">
        <is>
          <t>No</t>
        </is>
      </c>
      <c r="J1450" t="inlineStr">
        <is>
          <t>0</t>
        </is>
      </c>
      <c r="K1450" t="inlineStr">
        <is>
          <t>Herr, John J.</t>
        </is>
      </c>
      <c r="L1450" t="inlineStr">
        <is>
          <t>New York : Springer Pub. Co., c1979.</t>
        </is>
      </c>
      <c r="M1450" t="inlineStr">
        <is>
          <t>1979</t>
        </is>
      </c>
      <c r="O1450" t="inlineStr">
        <is>
          <t>eng</t>
        </is>
      </c>
      <c r="P1450" t="inlineStr">
        <is>
          <t>nyu</t>
        </is>
      </c>
      <c r="Q1450" t="inlineStr">
        <is>
          <t>Springer series on adulthood and aging ; v. 2</t>
        </is>
      </c>
      <c r="R1450" t="inlineStr">
        <is>
          <t xml:space="preserve">BF </t>
        </is>
      </c>
      <c r="S1450" t="n">
        <v>8</v>
      </c>
      <c r="T1450" t="n">
        <v>11</v>
      </c>
      <c r="U1450" t="inlineStr">
        <is>
          <t>1994-11-01</t>
        </is>
      </c>
      <c r="V1450" t="inlineStr">
        <is>
          <t>2010-11-16</t>
        </is>
      </c>
      <c r="W1450" t="inlineStr">
        <is>
          <t>1988-01-07</t>
        </is>
      </c>
      <c r="X1450" t="inlineStr">
        <is>
          <t>1992-04-08</t>
        </is>
      </c>
      <c r="Y1450" t="n">
        <v>779</v>
      </c>
      <c r="Z1450" t="n">
        <v>675</v>
      </c>
      <c r="AA1450" t="n">
        <v>682</v>
      </c>
      <c r="AB1450" t="n">
        <v>6</v>
      </c>
      <c r="AC1450" t="n">
        <v>6</v>
      </c>
      <c r="AD1450" t="n">
        <v>28</v>
      </c>
      <c r="AE1450" t="n">
        <v>28</v>
      </c>
      <c r="AF1450" t="n">
        <v>15</v>
      </c>
      <c r="AG1450" t="n">
        <v>15</v>
      </c>
      <c r="AH1450" t="n">
        <v>5</v>
      </c>
      <c r="AI1450" t="n">
        <v>5</v>
      </c>
      <c r="AJ1450" t="n">
        <v>12</v>
      </c>
      <c r="AK1450" t="n">
        <v>12</v>
      </c>
      <c r="AL1450" t="n">
        <v>4</v>
      </c>
      <c r="AM1450" t="n">
        <v>4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Yes</t>
        </is>
      </c>
      <c r="AR1450">
        <f>HYPERLINK("http://catalog.hathitrust.org/Record/000127129","HathiTrust Record")</f>
        <v/>
      </c>
      <c r="AS1450">
        <f>HYPERLINK("https://creighton-primo.hosted.exlibrisgroup.com/primo-explore/search?tab=default_tab&amp;search_scope=EVERYTHING&amp;vid=01CRU&amp;lang=en_US&amp;offset=0&amp;query=any,contains,991001782679702656","Catalog Record")</f>
        <v/>
      </c>
      <c r="AT1450">
        <f>HYPERLINK("http://www.worldcat.org/oclc/4493613","WorldCat Record")</f>
        <v/>
      </c>
    </row>
    <row r="1451">
      <c r="A1451" t="inlineStr">
        <is>
          <t>No</t>
        </is>
      </c>
      <c r="B1451" t="inlineStr">
        <is>
          <t>BF724.8 .S5</t>
        </is>
      </c>
      <c r="C1451" t="inlineStr">
        <is>
          <t>0                      BF 0724800S  5</t>
        </is>
      </c>
      <c r="D1451" t="inlineStr">
        <is>
          <t>Counseling older persons : careers, retirement, dying / Daniel Sinick.</t>
        </is>
      </c>
      <c r="F1451" t="inlineStr">
        <is>
          <t>No</t>
        </is>
      </c>
      <c r="G1451" t="inlineStr">
        <is>
          <t>1</t>
        </is>
      </c>
      <c r="H1451" t="inlineStr">
        <is>
          <t>Yes</t>
        </is>
      </c>
      <c r="I1451" t="inlineStr">
        <is>
          <t>No</t>
        </is>
      </c>
      <c r="J1451" t="inlineStr">
        <is>
          <t>0</t>
        </is>
      </c>
      <c r="K1451" t="inlineStr">
        <is>
          <t>Sinick, Daniel.</t>
        </is>
      </c>
      <c r="L1451" t="inlineStr">
        <is>
          <t>New York : Human Sciences Press, c1977.</t>
        </is>
      </c>
      <c r="M1451" t="inlineStr">
        <is>
          <t>1977</t>
        </is>
      </c>
      <c r="O1451" t="inlineStr">
        <is>
          <t>eng</t>
        </is>
      </c>
      <c r="P1451" t="inlineStr">
        <is>
          <t>nyu</t>
        </is>
      </c>
      <c r="Q1451" t="inlineStr">
        <is>
          <t>New vistas in counseling series ; v. 4</t>
        </is>
      </c>
      <c r="R1451" t="inlineStr">
        <is>
          <t xml:space="preserve">BF </t>
        </is>
      </c>
      <c r="S1451" t="n">
        <v>0</v>
      </c>
      <c r="T1451" t="n">
        <v>2</v>
      </c>
      <c r="V1451" t="inlineStr">
        <is>
          <t>1997-06-28</t>
        </is>
      </c>
      <c r="W1451" t="inlineStr">
        <is>
          <t>1988-01-09</t>
        </is>
      </c>
      <c r="X1451" t="inlineStr">
        <is>
          <t>1996-08-07</t>
        </is>
      </c>
      <c r="Y1451" t="n">
        <v>573</v>
      </c>
      <c r="Z1451" t="n">
        <v>492</v>
      </c>
      <c r="AA1451" t="n">
        <v>500</v>
      </c>
      <c r="AB1451" t="n">
        <v>6</v>
      </c>
      <c r="AC1451" t="n">
        <v>6</v>
      </c>
      <c r="AD1451" t="n">
        <v>22</v>
      </c>
      <c r="AE1451" t="n">
        <v>22</v>
      </c>
      <c r="AF1451" t="n">
        <v>12</v>
      </c>
      <c r="AG1451" t="n">
        <v>12</v>
      </c>
      <c r="AH1451" t="n">
        <v>2</v>
      </c>
      <c r="AI1451" t="n">
        <v>2</v>
      </c>
      <c r="AJ1451" t="n">
        <v>11</v>
      </c>
      <c r="AK1451" t="n">
        <v>11</v>
      </c>
      <c r="AL1451" t="n">
        <v>4</v>
      </c>
      <c r="AM1451" t="n">
        <v>4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HYPERLINK("http://catalog.hathitrust.org/Record/000293697","HathiTrust Record")</f>
        <v/>
      </c>
      <c r="AS1451">
        <f>HYPERLINK("https://creighton-primo.hosted.exlibrisgroup.com/primo-explore/search?tab=default_tab&amp;search_scope=EVERYTHING&amp;vid=01CRU&amp;lang=en_US&amp;offset=0&amp;query=any,contains,991001772249702656","Catalog Record")</f>
        <v/>
      </c>
      <c r="AT1451">
        <f>HYPERLINK("http://www.worldcat.org/oclc/3168772","WorldCat Record")</f>
        <v/>
      </c>
    </row>
    <row r="1452">
      <c r="A1452" t="inlineStr">
        <is>
          <t>No</t>
        </is>
      </c>
      <c r="B1452" t="inlineStr">
        <is>
          <t>BF76.4 .S74 1984</t>
        </is>
      </c>
      <c r="C1452" t="inlineStr">
        <is>
          <t>0                      BF 0076400S  74          1984</t>
        </is>
      </c>
      <c r="D1452" t="inlineStr">
        <is>
          <t>Ethical issues in psychology / Marion Steininger, J. David Newell, Luis T. Garcia.</t>
        </is>
      </c>
      <c r="F1452" t="inlineStr">
        <is>
          <t>No</t>
        </is>
      </c>
      <c r="G1452" t="inlineStr">
        <is>
          <t>1</t>
        </is>
      </c>
      <c r="H1452" t="inlineStr">
        <is>
          <t>Yes</t>
        </is>
      </c>
      <c r="I1452" t="inlineStr">
        <is>
          <t>No</t>
        </is>
      </c>
      <c r="J1452" t="inlineStr">
        <is>
          <t>0</t>
        </is>
      </c>
      <c r="K1452" t="inlineStr">
        <is>
          <t>Steininger, Marion.</t>
        </is>
      </c>
      <c r="L1452" t="inlineStr">
        <is>
          <t>Homewood, Ill. : Dorsey Press, c1984.</t>
        </is>
      </c>
      <c r="M1452" t="inlineStr">
        <is>
          <t>1984</t>
        </is>
      </c>
      <c r="O1452" t="inlineStr">
        <is>
          <t>eng</t>
        </is>
      </c>
      <c r="P1452" t="inlineStr">
        <is>
          <t>ilu</t>
        </is>
      </c>
      <c r="Q1452" t="inlineStr">
        <is>
          <t>The Dorsey series in psychology</t>
        </is>
      </c>
      <c r="R1452" t="inlineStr">
        <is>
          <t xml:space="preserve">BF </t>
        </is>
      </c>
      <c r="S1452" t="n">
        <v>6</v>
      </c>
      <c r="T1452" t="n">
        <v>24</v>
      </c>
      <c r="U1452" t="inlineStr">
        <is>
          <t>1993-04-07</t>
        </is>
      </c>
      <c r="V1452" t="inlineStr">
        <is>
          <t>2005-03-20</t>
        </is>
      </c>
      <c r="W1452" t="inlineStr">
        <is>
          <t>1987-08-21</t>
        </is>
      </c>
      <c r="X1452" t="inlineStr">
        <is>
          <t>1992-04-09</t>
        </is>
      </c>
      <c r="Y1452" t="n">
        <v>324</v>
      </c>
      <c r="Z1452" t="n">
        <v>268</v>
      </c>
      <c r="AA1452" t="n">
        <v>348</v>
      </c>
      <c r="AB1452" t="n">
        <v>4</v>
      </c>
      <c r="AC1452" t="n">
        <v>4</v>
      </c>
      <c r="AD1452" t="n">
        <v>15</v>
      </c>
      <c r="AE1452" t="n">
        <v>19</v>
      </c>
      <c r="AF1452" t="n">
        <v>3</v>
      </c>
      <c r="AG1452" t="n">
        <v>4</v>
      </c>
      <c r="AH1452" t="n">
        <v>5</v>
      </c>
      <c r="AI1452" t="n">
        <v>7</v>
      </c>
      <c r="AJ1452" t="n">
        <v>9</v>
      </c>
      <c r="AK1452" t="n">
        <v>10</v>
      </c>
      <c r="AL1452" t="n">
        <v>2</v>
      </c>
      <c r="AM1452" t="n">
        <v>2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Yes</t>
        </is>
      </c>
      <c r="AR1452">
        <f>HYPERLINK("http://catalog.hathitrust.org/Record/000283660","HathiTrust Record")</f>
        <v/>
      </c>
      <c r="AS1452">
        <f>HYPERLINK("https://creighton-primo.hosted.exlibrisgroup.com/primo-explore/search?tab=default_tab&amp;search_scope=EVERYTHING&amp;vid=01CRU&amp;lang=en_US&amp;offset=0&amp;query=any,contains,991001761999702656","Catalog Record")</f>
        <v/>
      </c>
      <c r="AT1452">
        <f>HYPERLINK("http://www.worldcat.org/oclc/11533744","WorldCat Record")</f>
        <v/>
      </c>
    </row>
    <row r="1453">
      <c r="A1453" t="inlineStr">
        <is>
          <t>No</t>
        </is>
      </c>
      <c r="B1453" t="inlineStr">
        <is>
          <t>BF773 .R6</t>
        </is>
      </c>
      <c r="C1453" t="inlineStr">
        <is>
          <t>0                      BF 0773000R  6</t>
        </is>
      </c>
      <c r="D1453" t="inlineStr">
        <is>
          <t>Beliefs, attitudes, and values; a theory of organization and change.</t>
        </is>
      </c>
      <c r="F1453" t="inlineStr">
        <is>
          <t>No</t>
        </is>
      </c>
      <c r="G1453" t="inlineStr">
        <is>
          <t>1</t>
        </is>
      </c>
      <c r="H1453" t="inlineStr">
        <is>
          <t>Yes</t>
        </is>
      </c>
      <c r="I1453" t="inlineStr">
        <is>
          <t>No</t>
        </is>
      </c>
      <c r="J1453" t="inlineStr">
        <is>
          <t>0</t>
        </is>
      </c>
      <c r="K1453" t="inlineStr">
        <is>
          <t>Rokeach, Milton.</t>
        </is>
      </c>
      <c r="L1453" t="inlineStr">
        <is>
          <t>San Francisco, Jossey-Bass, 1968.</t>
        </is>
      </c>
      <c r="M1453" t="inlineStr">
        <is>
          <t>1968</t>
        </is>
      </c>
      <c r="N1453" t="inlineStr">
        <is>
          <t>[1st ed.]</t>
        </is>
      </c>
      <c r="O1453" t="inlineStr">
        <is>
          <t>eng</t>
        </is>
      </c>
      <c r="P1453" t="inlineStr">
        <is>
          <t>cau</t>
        </is>
      </c>
      <c r="Q1453" t="inlineStr">
        <is>
          <t>The Jossey-Bass behavioral science series</t>
        </is>
      </c>
      <c r="R1453" t="inlineStr">
        <is>
          <t xml:space="preserve">BF </t>
        </is>
      </c>
      <c r="S1453" t="n">
        <v>15</v>
      </c>
      <c r="T1453" t="n">
        <v>28</v>
      </c>
      <c r="U1453" t="inlineStr">
        <is>
          <t>2001-10-11</t>
        </is>
      </c>
      <c r="V1453" t="inlineStr">
        <is>
          <t>2003-04-11</t>
        </is>
      </c>
      <c r="W1453" t="inlineStr">
        <is>
          <t>1987-09-03</t>
        </is>
      </c>
      <c r="X1453" t="inlineStr">
        <is>
          <t>1996-08-07</t>
        </is>
      </c>
      <c r="Y1453" t="n">
        <v>1096</v>
      </c>
      <c r="Z1453" t="n">
        <v>942</v>
      </c>
      <c r="AA1453" t="n">
        <v>957</v>
      </c>
      <c r="AB1453" t="n">
        <v>9</v>
      </c>
      <c r="AC1453" t="n">
        <v>9</v>
      </c>
      <c r="AD1453" t="n">
        <v>42</v>
      </c>
      <c r="AE1453" t="n">
        <v>43</v>
      </c>
      <c r="AF1453" t="n">
        <v>18</v>
      </c>
      <c r="AG1453" t="n">
        <v>18</v>
      </c>
      <c r="AH1453" t="n">
        <v>6</v>
      </c>
      <c r="AI1453" t="n">
        <v>7</v>
      </c>
      <c r="AJ1453" t="n">
        <v>18</v>
      </c>
      <c r="AK1453" t="n">
        <v>18</v>
      </c>
      <c r="AL1453" t="n">
        <v>7</v>
      </c>
      <c r="AM1453" t="n">
        <v>7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HYPERLINK("http://catalog.hathitrust.org/Record/000472670","HathiTrust Record")</f>
        <v/>
      </c>
      <c r="AS1453">
        <f>HYPERLINK("https://creighton-primo.hosted.exlibrisgroup.com/primo-explore/search?tab=default_tab&amp;search_scope=EVERYTHING&amp;vid=01CRU&amp;lang=en_US&amp;offset=0&amp;query=any,contains,991001762659702656","Catalog Record")</f>
        <v/>
      </c>
      <c r="AT1453">
        <f>HYPERLINK("http://www.worldcat.org/oclc/223048","WorldCat Record")</f>
        <v/>
      </c>
    </row>
    <row r="1454">
      <c r="A1454" t="inlineStr">
        <is>
          <t>No</t>
        </is>
      </c>
      <c r="B1454" t="inlineStr">
        <is>
          <t>BF789.D4 B48</t>
        </is>
      </c>
      <c r="C1454" t="inlineStr">
        <is>
          <t>0                      BF 0789000D  4                  B  48</t>
        </is>
      </c>
      <c r="D1454" t="inlineStr">
        <is>
          <t>Between life and death / Robert Kastenbaum, editor.</t>
        </is>
      </c>
      <c r="F1454" t="inlineStr">
        <is>
          <t>No</t>
        </is>
      </c>
      <c r="G1454" t="inlineStr">
        <is>
          <t>1</t>
        </is>
      </c>
      <c r="H1454" t="inlineStr">
        <is>
          <t>Yes</t>
        </is>
      </c>
      <c r="I1454" t="inlineStr">
        <is>
          <t>No</t>
        </is>
      </c>
      <c r="J1454" t="inlineStr">
        <is>
          <t>0</t>
        </is>
      </c>
      <c r="L1454" t="inlineStr">
        <is>
          <t>New York : Springer Pub. Co., c1979.</t>
        </is>
      </c>
      <c r="M1454" t="inlineStr">
        <is>
          <t>1979</t>
        </is>
      </c>
      <c r="O1454" t="inlineStr">
        <is>
          <t>eng</t>
        </is>
      </c>
      <c r="P1454" t="inlineStr">
        <is>
          <t>nyu</t>
        </is>
      </c>
      <c r="Q1454" t="inlineStr">
        <is>
          <t>The Springer series on death and suicide ; v. 1</t>
        </is>
      </c>
      <c r="R1454" t="inlineStr">
        <is>
          <t xml:space="preserve">BF </t>
        </is>
      </c>
      <c r="S1454" t="n">
        <v>6</v>
      </c>
      <c r="T1454" t="n">
        <v>8</v>
      </c>
      <c r="U1454" t="inlineStr">
        <is>
          <t>1992-03-05</t>
        </is>
      </c>
      <c r="V1454" t="inlineStr">
        <is>
          <t>1992-11-30</t>
        </is>
      </c>
      <c r="W1454" t="inlineStr">
        <is>
          <t>1987-09-03</t>
        </is>
      </c>
      <c r="X1454" t="inlineStr">
        <is>
          <t>1992-02-17</t>
        </is>
      </c>
      <c r="Y1454" t="n">
        <v>435</v>
      </c>
      <c r="Z1454" t="n">
        <v>381</v>
      </c>
      <c r="AA1454" t="n">
        <v>388</v>
      </c>
      <c r="AB1454" t="n">
        <v>4</v>
      </c>
      <c r="AC1454" t="n">
        <v>4</v>
      </c>
      <c r="AD1454" t="n">
        <v>10</v>
      </c>
      <c r="AE1454" t="n">
        <v>10</v>
      </c>
      <c r="AF1454" t="n">
        <v>1</v>
      </c>
      <c r="AG1454" t="n">
        <v>1</v>
      </c>
      <c r="AH1454" t="n">
        <v>4</v>
      </c>
      <c r="AI1454" t="n">
        <v>4</v>
      </c>
      <c r="AJ1454" t="n">
        <v>7</v>
      </c>
      <c r="AK1454" t="n">
        <v>7</v>
      </c>
      <c r="AL1454" t="n">
        <v>2</v>
      </c>
      <c r="AM1454" t="n">
        <v>2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Yes</t>
        </is>
      </c>
      <c r="AR1454">
        <f>HYPERLINK("http://catalog.hathitrust.org/Record/000729630","HathiTrust Record")</f>
        <v/>
      </c>
      <c r="AS1454">
        <f>HYPERLINK("https://creighton-primo.hosted.exlibrisgroup.com/primo-explore/search?tab=default_tab&amp;search_scope=EVERYTHING&amp;vid=01CRU&amp;lang=en_US&amp;offset=0&amp;query=any,contains,991001762639702656","Catalog Record")</f>
        <v/>
      </c>
      <c r="AT1454">
        <f>HYPERLINK("http://www.worldcat.org/oclc/5239852","WorldCat Record")</f>
        <v/>
      </c>
    </row>
    <row r="1455">
      <c r="A1455" t="inlineStr">
        <is>
          <t>No</t>
        </is>
      </c>
      <c r="B1455" t="inlineStr">
        <is>
          <t>BF789.D4 D385 2000</t>
        </is>
      </c>
      <c r="C1455" t="inlineStr">
        <is>
          <t>0                      BF 0789000D  4                  D  385         2000</t>
        </is>
      </c>
      <c r="D1455" t="inlineStr">
        <is>
          <t>Death and dying in ethnic America : a research study / conducted by The Cross Cultural Health Care Program, Seattle, Washington.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L1455" t="inlineStr">
        <is>
          <t>Seattle, WA : CCHCP, c2000.</t>
        </is>
      </c>
      <c r="M1455" t="inlineStr">
        <is>
          <t>2000</t>
        </is>
      </c>
      <c r="O1455" t="inlineStr">
        <is>
          <t>eng</t>
        </is>
      </c>
      <c r="P1455" t="inlineStr">
        <is>
          <t>wau</t>
        </is>
      </c>
      <c r="R1455" t="inlineStr">
        <is>
          <t xml:space="preserve">BF </t>
        </is>
      </c>
      <c r="S1455" t="n">
        <v>2</v>
      </c>
      <c r="T1455" t="n">
        <v>2</v>
      </c>
      <c r="U1455" t="inlineStr">
        <is>
          <t>2004-09-30</t>
        </is>
      </c>
      <c r="V1455" t="inlineStr">
        <is>
          <t>2004-09-30</t>
        </is>
      </c>
      <c r="W1455" t="inlineStr">
        <is>
          <t>2004-09-29</t>
        </is>
      </c>
      <c r="X1455" t="inlineStr">
        <is>
          <t>2004-09-29</t>
        </is>
      </c>
      <c r="Y1455" t="n">
        <v>28</v>
      </c>
      <c r="Z1455" t="n">
        <v>28</v>
      </c>
      <c r="AA1455" t="n">
        <v>30</v>
      </c>
      <c r="AB1455" t="n">
        <v>1</v>
      </c>
      <c r="AC1455" t="n">
        <v>1</v>
      </c>
      <c r="AD1455" t="n">
        <v>0</v>
      </c>
      <c r="AE1455" t="n">
        <v>0</v>
      </c>
      <c r="AF1455" t="n">
        <v>0</v>
      </c>
      <c r="AG1455" t="n">
        <v>0</v>
      </c>
      <c r="AH1455" t="n">
        <v>0</v>
      </c>
      <c r="AI1455" t="n">
        <v>0</v>
      </c>
      <c r="AJ1455" t="n">
        <v>0</v>
      </c>
      <c r="AK1455" t="n">
        <v>0</v>
      </c>
      <c r="AL1455" t="n">
        <v>0</v>
      </c>
      <c r="AM1455" t="n">
        <v>0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Yes</t>
        </is>
      </c>
      <c r="AR1455">
        <f>HYPERLINK("http://catalog.hathitrust.org/Record/004158203","HathiTrust Record")</f>
        <v/>
      </c>
      <c r="AS1455">
        <f>HYPERLINK("https://creighton-primo.hosted.exlibrisgroup.com/primo-explore/search?tab=default_tab&amp;search_scope=EVERYTHING&amp;vid=01CRU&amp;lang=en_US&amp;offset=0&amp;query=any,contains,991000399099702656","Catalog Record")</f>
        <v/>
      </c>
      <c r="AT1455">
        <f>HYPERLINK("http://www.worldcat.org/oclc/44862057","WorldCat Record")</f>
        <v/>
      </c>
    </row>
    <row r="1456">
      <c r="A1456" t="inlineStr">
        <is>
          <t>No</t>
        </is>
      </c>
      <c r="B1456" t="inlineStr">
        <is>
          <t>BF789.D4 F8 1976</t>
        </is>
      </c>
      <c r="C1456" t="inlineStr">
        <is>
          <t>0                      BF 0789000D  4                  F  8           1976</t>
        </is>
      </c>
      <c r="D1456" t="inlineStr">
        <is>
          <t>Death and identity / Robert Fulton, editor, in collaboration with Robert Bendiksen.</t>
        </is>
      </c>
      <c r="F1456" t="inlineStr">
        <is>
          <t>No</t>
        </is>
      </c>
      <c r="G1456" t="inlineStr">
        <is>
          <t>1</t>
        </is>
      </c>
      <c r="H1456" t="inlineStr">
        <is>
          <t>Yes</t>
        </is>
      </c>
      <c r="I1456" t="inlineStr">
        <is>
          <t>No</t>
        </is>
      </c>
      <c r="J1456" t="inlineStr">
        <is>
          <t>0</t>
        </is>
      </c>
      <c r="K1456" t="inlineStr">
        <is>
          <t>Fulton, Robert, 1926- editor.</t>
        </is>
      </c>
      <c r="L1456" t="inlineStr">
        <is>
          <t>Bowie, Md. : Charles Press, c1976.</t>
        </is>
      </c>
      <c r="M1456" t="inlineStr">
        <is>
          <t>1976</t>
        </is>
      </c>
      <c r="N1456" t="inlineStr">
        <is>
          <t>Rev. ed.</t>
        </is>
      </c>
      <c r="O1456" t="inlineStr">
        <is>
          <t>eng</t>
        </is>
      </c>
      <c r="P1456" t="inlineStr">
        <is>
          <t>mdu</t>
        </is>
      </c>
      <c r="R1456" t="inlineStr">
        <is>
          <t xml:space="preserve">BF </t>
        </is>
      </c>
      <c r="S1456" t="n">
        <v>1</v>
      </c>
      <c r="T1456" t="n">
        <v>4</v>
      </c>
      <c r="U1456" t="inlineStr">
        <is>
          <t>1992-02-08</t>
        </is>
      </c>
      <c r="V1456" t="inlineStr">
        <is>
          <t>2000-10-29</t>
        </is>
      </c>
      <c r="W1456" t="inlineStr">
        <is>
          <t>1987-08-21</t>
        </is>
      </c>
      <c r="X1456" t="inlineStr">
        <is>
          <t>1993-03-18</t>
        </is>
      </c>
      <c r="Y1456" t="n">
        <v>473</v>
      </c>
      <c r="Z1456" t="n">
        <v>421</v>
      </c>
      <c r="AA1456" t="n">
        <v>1021</v>
      </c>
      <c r="AB1456" t="n">
        <v>4</v>
      </c>
      <c r="AC1456" t="n">
        <v>9</v>
      </c>
      <c r="AD1456" t="n">
        <v>21</v>
      </c>
      <c r="AE1456" t="n">
        <v>38</v>
      </c>
      <c r="AF1456" t="n">
        <v>9</v>
      </c>
      <c r="AG1456" t="n">
        <v>13</v>
      </c>
      <c r="AH1456" t="n">
        <v>4</v>
      </c>
      <c r="AI1456" t="n">
        <v>6</v>
      </c>
      <c r="AJ1456" t="n">
        <v>11</v>
      </c>
      <c r="AK1456" t="n">
        <v>22</v>
      </c>
      <c r="AL1456" t="n">
        <v>2</v>
      </c>
      <c r="AM1456" t="n">
        <v>6</v>
      </c>
      <c r="AN1456" t="n">
        <v>0</v>
      </c>
      <c r="AO1456" t="n">
        <v>1</v>
      </c>
      <c r="AP1456" t="inlineStr">
        <is>
          <t>No</t>
        </is>
      </c>
      <c r="AQ1456" t="inlineStr">
        <is>
          <t>Yes</t>
        </is>
      </c>
      <c r="AR1456">
        <f>HYPERLINK("http://catalog.hathitrust.org/Record/007550926","HathiTrust Record")</f>
        <v/>
      </c>
      <c r="AS1456">
        <f>HYPERLINK("https://creighton-primo.hosted.exlibrisgroup.com/primo-explore/search?tab=default_tab&amp;search_scope=EVERYTHING&amp;vid=01CRU&amp;lang=en_US&amp;offset=0&amp;query=any,contains,991001761829702656","Catalog Record")</f>
        <v/>
      </c>
      <c r="AT1456">
        <f>HYPERLINK("http://www.worldcat.org/oclc/2318294","WorldCat Record")</f>
        <v/>
      </c>
    </row>
    <row r="1457">
      <c r="A1457" t="inlineStr">
        <is>
          <t>No</t>
        </is>
      </c>
      <c r="B1457" t="inlineStr">
        <is>
          <t>BF789.D4 I68e 1993</t>
        </is>
      </c>
      <c r="C1457" t="inlineStr">
        <is>
          <t>0                      BF 0789000D  4                  I  68e         1993</t>
        </is>
      </c>
      <c r="D1457" t="inlineStr">
        <is>
          <t>Ethnic variations in dying, death, and grief : diversity in universality / edited by Donald P. Irish, Kathleen F. Lundquist, Vivian Jenkins Nelsen.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L1457" t="inlineStr">
        <is>
          <t>Washington, DC : Taylor &amp; Francis, c1993.</t>
        </is>
      </c>
      <c r="M1457" t="inlineStr">
        <is>
          <t>1993</t>
        </is>
      </c>
      <c r="O1457" t="inlineStr">
        <is>
          <t>eng</t>
        </is>
      </c>
      <c r="P1457" t="inlineStr">
        <is>
          <t>dcu</t>
        </is>
      </c>
      <c r="Q1457" t="inlineStr">
        <is>
          <t>Series in death education, aging, and health care, 0275-3510</t>
        </is>
      </c>
      <c r="R1457" t="inlineStr">
        <is>
          <t xml:space="preserve">BF </t>
        </is>
      </c>
      <c r="S1457" t="n">
        <v>3</v>
      </c>
      <c r="T1457" t="n">
        <v>3</v>
      </c>
      <c r="U1457" t="inlineStr">
        <is>
          <t>2005-08-23</t>
        </is>
      </c>
      <c r="V1457" t="inlineStr">
        <is>
          <t>2005-08-23</t>
        </is>
      </c>
      <c r="W1457" t="inlineStr">
        <is>
          <t>2004-09-10</t>
        </is>
      </c>
      <c r="X1457" t="inlineStr">
        <is>
          <t>2004-09-10</t>
        </is>
      </c>
      <c r="Y1457" t="n">
        <v>965</v>
      </c>
      <c r="Z1457" t="n">
        <v>805</v>
      </c>
      <c r="AA1457" t="n">
        <v>835</v>
      </c>
      <c r="AB1457" t="n">
        <v>8</v>
      </c>
      <c r="AC1457" t="n">
        <v>8</v>
      </c>
      <c r="AD1457" t="n">
        <v>39</v>
      </c>
      <c r="AE1457" t="n">
        <v>39</v>
      </c>
      <c r="AF1457" t="n">
        <v>13</v>
      </c>
      <c r="AG1457" t="n">
        <v>13</v>
      </c>
      <c r="AH1457" t="n">
        <v>6</v>
      </c>
      <c r="AI1457" t="n">
        <v>6</v>
      </c>
      <c r="AJ1457" t="n">
        <v>21</v>
      </c>
      <c r="AK1457" t="n">
        <v>21</v>
      </c>
      <c r="AL1457" t="n">
        <v>7</v>
      </c>
      <c r="AM1457" t="n">
        <v>7</v>
      </c>
      <c r="AN1457" t="n">
        <v>1</v>
      </c>
      <c r="AO1457" t="n">
        <v>1</v>
      </c>
      <c r="AP1457" t="inlineStr">
        <is>
          <t>No</t>
        </is>
      </c>
      <c r="AQ1457" t="inlineStr">
        <is>
          <t>No</t>
        </is>
      </c>
      <c r="AS1457">
        <f>HYPERLINK("https://creighton-primo.hosted.exlibrisgroup.com/primo-explore/search?tab=default_tab&amp;search_scope=EVERYTHING&amp;vid=01CRU&amp;lang=en_US&amp;offset=0&amp;query=any,contains,991000386699702656","Catalog Record")</f>
        <v/>
      </c>
      <c r="AT1457">
        <f>HYPERLINK("http://www.worldcat.org/oclc/26769037","WorldCat Record")</f>
        <v/>
      </c>
    </row>
    <row r="1458">
      <c r="A1458" t="inlineStr">
        <is>
          <t>No</t>
        </is>
      </c>
      <c r="B1458" t="inlineStr">
        <is>
          <t>BF789.D4 K8</t>
        </is>
      </c>
      <c r="C1458" t="inlineStr">
        <is>
          <t>0                      BF 0789000D  4                  K  8</t>
        </is>
      </c>
      <c r="D1458" t="inlineStr">
        <is>
          <t>On death and dying.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Yes</t>
        </is>
      </c>
      <c r="J1458" t="inlineStr">
        <is>
          <t>0</t>
        </is>
      </c>
      <c r="K1458" t="inlineStr">
        <is>
          <t>Kübler-Ross, Elisabeth.</t>
        </is>
      </c>
      <c r="L1458" t="inlineStr">
        <is>
          <t>[New York] Macmillan [1969]</t>
        </is>
      </c>
      <c r="M1458" t="inlineStr">
        <is>
          <t>1969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BF </t>
        </is>
      </c>
      <c r="S1458" t="n">
        <v>9</v>
      </c>
      <c r="T1458" t="n">
        <v>9</v>
      </c>
      <c r="U1458" t="inlineStr">
        <is>
          <t>2008-01-06</t>
        </is>
      </c>
      <c r="V1458" t="inlineStr">
        <is>
          <t>2008-01-06</t>
        </is>
      </c>
      <c r="W1458" t="inlineStr">
        <is>
          <t>1987-09-14</t>
        </is>
      </c>
      <c r="X1458" t="inlineStr">
        <is>
          <t>1987-09-14</t>
        </is>
      </c>
      <c r="Y1458" t="n">
        <v>2526</v>
      </c>
      <c r="Z1458" t="n">
        <v>2363</v>
      </c>
      <c r="AA1458" t="n">
        <v>4412</v>
      </c>
      <c r="AB1458" t="n">
        <v>27</v>
      </c>
      <c r="AC1458" t="n">
        <v>62</v>
      </c>
      <c r="AD1458" t="n">
        <v>48</v>
      </c>
      <c r="AE1458" t="n">
        <v>75</v>
      </c>
      <c r="AF1458" t="n">
        <v>17</v>
      </c>
      <c r="AG1458" t="n">
        <v>30</v>
      </c>
      <c r="AH1458" t="n">
        <v>11</v>
      </c>
      <c r="AI1458" t="n">
        <v>12</v>
      </c>
      <c r="AJ1458" t="n">
        <v>20</v>
      </c>
      <c r="AK1458" t="n">
        <v>28</v>
      </c>
      <c r="AL1458" t="n">
        <v>8</v>
      </c>
      <c r="AM1458" t="n">
        <v>18</v>
      </c>
      <c r="AN1458" t="n">
        <v>1</v>
      </c>
      <c r="AO1458" t="n">
        <v>1</v>
      </c>
      <c r="AP1458" t="inlineStr">
        <is>
          <t>No</t>
        </is>
      </c>
      <c r="AQ1458" t="inlineStr">
        <is>
          <t>Yes</t>
        </is>
      </c>
      <c r="AR1458">
        <f>HYPERLINK("http://catalog.hathitrust.org/Record/000279270","HathiTrust Record")</f>
        <v/>
      </c>
      <c r="AS1458">
        <f>HYPERLINK("https://creighton-primo.hosted.exlibrisgroup.com/primo-explore/search?tab=default_tab&amp;search_scope=EVERYTHING&amp;vid=01CRU&amp;lang=en_US&amp;offset=0&amp;query=any,contains,991000695669702656","Catalog Record")</f>
        <v/>
      </c>
      <c r="AT1458">
        <f>HYPERLINK("http://www.worldcat.org/oclc/4238","WorldCat Record")</f>
        <v/>
      </c>
    </row>
    <row r="1459">
      <c r="A1459" t="inlineStr">
        <is>
          <t>No</t>
        </is>
      </c>
      <c r="B1459" t="inlineStr">
        <is>
          <t>BF789.S8 B3</t>
        </is>
      </c>
      <c r="C1459" t="inlineStr">
        <is>
          <t>0                      BF 0789000S  8                  B  3</t>
        </is>
      </c>
      <c r="D1459" t="inlineStr">
        <is>
          <t>Disease, pain, &amp; sacrifice; toward a psychology of suffering.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Bakan, David.</t>
        </is>
      </c>
      <c r="L1459" t="inlineStr">
        <is>
          <t>Chicago, University of Chicago Press [1968]</t>
        </is>
      </c>
      <c r="M1459" t="inlineStr">
        <is>
          <t>1968</t>
        </is>
      </c>
      <c r="O1459" t="inlineStr">
        <is>
          <t>eng</t>
        </is>
      </c>
      <c r="P1459" t="inlineStr">
        <is>
          <t>ilu</t>
        </is>
      </c>
      <c r="R1459" t="inlineStr">
        <is>
          <t xml:space="preserve">BF </t>
        </is>
      </c>
      <c r="S1459" t="n">
        <v>4</v>
      </c>
      <c r="T1459" t="n">
        <v>4</v>
      </c>
      <c r="U1459" t="inlineStr">
        <is>
          <t>1999-03-04</t>
        </is>
      </c>
      <c r="V1459" t="inlineStr">
        <is>
          <t>1999-03-04</t>
        </is>
      </c>
      <c r="W1459" t="inlineStr">
        <is>
          <t>1987-09-04</t>
        </is>
      </c>
      <c r="X1459" t="inlineStr">
        <is>
          <t>1987-09-04</t>
        </is>
      </c>
      <c r="Y1459" t="n">
        <v>880</v>
      </c>
      <c r="Z1459" t="n">
        <v>750</v>
      </c>
      <c r="AA1459" t="n">
        <v>828</v>
      </c>
      <c r="AB1459" t="n">
        <v>5</v>
      </c>
      <c r="AC1459" t="n">
        <v>5</v>
      </c>
      <c r="AD1459" t="n">
        <v>37</v>
      </c>
      <c r="AE1459" t="n">
        <v>41</v>
      </c>
      <c r="AF1459" t="n">
        <v>14</v>
      </c>
      <c r="AG1459" t="n">
        <v>16</v>
      </c>
      <c r="AH1459" t="n">
        <v>7</v>
      </c>
      <c r="AI1459" t="n">
        <v>9</v>
      </c>
      <c r="AJ1459" t="n">
        <v>21</v>
      </c>
      <c r="AK1459" t="n">
        <v>22</v>
      </c>
      <c r="AL1459" t="n">
        <v>4</v>
      </c>
      <c r="AM1459" t="n">
        <v>4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No</t>
        </is>
      </c>
      <c r="AS1459">
        <f>HYPERLINK("https://creighton-primo.hosted.exlibrisgroup.com/primo-explore/search?tab=default_tab&amp;search_scope=EVERYTHING&amp;vid=01CRU&amp;lang=en_US&amp;offset=0&amp;query=any,contains,991000792539702656","Catalog Record")</f>
        <v/>
      </c>
      <c r="AT1459">
        <f>HYPERLINK("http://www.worldcat.org/oclc/953528","WorldCat Record")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